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effb\OneDrive - Intelex U.S.A\H2O docs\Literature Files\"/>
    </mc:Choice>
  </mc:AlternateContent>
  <xr:revisionPtr revIDLastSave="0" documentId="13_ncr:1_{F0D430CC-99F7-442A-B37C-65D2EDF7E13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tandard" sheetId="1" r:id="rId1"/>
    <sheet name="wetbulb" sheetId="9" r:id="rId2"/>
    <sheet name="Peet WB" sheetId="10" r:id="rId3"/>
    <sheet name="spray dry sens" sheetId="6" r:id="rId4"/>
    <sheet name="SQ BTU Calcs" sheetId="3" r:id="rId5"/>
    <sheet name="Liq eff savings" sheetId="4" r:id="rId6"/>
    <sheet name="Enthalpy" sheetId="7" r:id="rId7"/>
    <sheet name="Feed water temp control" sheetId="8" r:id="rId8"/>
  </sheets>
  <definedNames>
    <definedName name="solver_adj" localSheetId="3" hidden="1">'spray dry sens'!$O$7</definedName>
    <definedName name="solver_adj" localSheetId="1" hidden="1">wetbulb!$O$4</definedName>
    <definedName name="solver_cvg" localSheetId="3" hidden="1">0.0001</definedName>
    <definedName name="solver_cvg" localSheetId="1" hidden="1">0.0001</definedName>
    <definedName name="solver_drv" localSheetId="3" hidden="1">1</definedName>
    <definedName name="solver_drv" localSheetId="1" hidden="1">1</definedName>
    <definedName name="solver_eng" localSheetId="3" hidden="1">1</definedName>
    <definedName name="solver_eng" localSheetId="1" hidden="1">1</definedName>
    <definedName name="solver_est" localSheetId="3" hidden="1">1</definedName>
    <definedName name="solver_est" localSheetId="1" hidden="1">1</definedName>
    <definedName name="solver_itr" localSheetId="3" hidden="1">2147483647</definedName>
    <definedName name="solver_itr" localSheetId="1" hidden="1">2147483647</definedName>
    <definedName name="solver_lhs0" localSheetId="3" hidden="1">'spray dry sens'!$R$3</definedName>
    <definedName name="solver_lhs0" localSheetId="1" hidden="1">wetbulb!$R$3</definedName>
    <definedName name="solver_lhs1" localSheetId="3" hidden="1">'spray dry sens'!$O$7</definedName>
    <definedName name="solver_lhs1" localSheetId="1" hidden="1">wetbulb!$O$6</definedName>
    <definedName name="solver_lhs2" localSheetId="3" hidden="1">'spray dry sens'!$O$3</definedName>
    <definedName name="solver_lhs2" localSheetId="1" hidden="1">wetbulb!$O$3</definedName>
    <definedName name="solver_lhs3" localSheetId="3" hidden="1">'spray dry sens'!$R$15</definedName>
    <definedName name="solver_lhs3" localSheetId="1" hidden="1">wetbulb!$R$15</definedName>
    <definedName name="solver_lhs4" localSheetId="3" hidden="1">'spray dry sens'!$R$15</definedName>
    <definedName name="solver_lhs4" localSheetId="1" hidden="1">wetbulb!$R$15</definedName>
    <definedName name="solver_lhs5" localSheetId="3" hidden="1">'spray dry sens'!$R$15</definedName>
    <definedName name="solver_lhs5" localSheetId="1" hidden="1">wetbulb!$R$15</definedName>
    <definedName name="solver_lhs6" localSheetId="3" hidden="1">'spray dry sens'!$R$15</definedName>
    <definedName name="solver_lhs6" localSheetId="1" hidden="1">wetbulb!$R$15</definedName>
    <definedName name="solver_mip" localSheetId="3" hidden="1">2147483647</definedName>
    <definedName name="solver_mip" localSheetId="1" hidden="1">2147483647</definedName>
    <definedName name="solver_mni" localSheetId="3" hidden="1">30</definedName>
    <definedName name="solver_mni" localSheetId="1" hidden="1">30</definedName>
    <definedName name="solver_mrt" localSheetId="3" hidden="1">0.075</definedName>
    <definedName name="solver_mrt" localSheetId="1" hidden="1">0.075</definedName>
    <definedName name="solver_msl" localSheetId="3" hidden="1">2</definedName>
    <definedName name="solver_msl" localSheetId="1" hidden="1">2</definedName>
    <definedName name="solver_neg" localSheetId="3" hidden="1">1</definedName>
    <definedName name="solver_neg" localSheetId="1" hidden="1">1</definedName>
    <definedName name="solver_nod" localSheetId="3" hidden="1">2147483647</definedName>
    <definedName name="solver_nod" localSheetId="1" hidden="1">2147483647</definedName>
    <definedName name="solver_num" localSheetId="3" hidden="1">1</definedName>
    <definedName name="solver_num" localSheetId="1" hidden="1">1</definedName>
    <definedName name="solver_nwt" localSheetId="3" hidden="1">1</definedName>
    <definedName name="solver_nwt" localSheetId="1" hidden="1">1</definedName>
    <definedName name="solver_opt" localSheetId="3" hidden="1">'spray dry sens'!$P$7</definedName>
    <definedName name="solver_opt" localSheetId="1" hidden="1">wetbulb!$P$4</definedName>
    <definedName name="solver_pre" localSheetId="3" hidden="1">0.000001</definedName>
    <definedName name="solver_pre" localSheetId="1" hidden="1">0.000001</definedName>
    <definedName name="solver_rbv" localSheetId="3" hidden="1">1</definedName>
    <definedName name="solver_rbv" localSheetId="1" hidden="1">1</definedName>
    <definedName name="solver_rel0" localSheetId="3" hidden="1">2</definedName>
    <definedName name="solver_rel0" localSheetId="1" hidden="1">2</definedName>
    <definedName name="solver_rel1" localSheetId="3" hidden="1">3</definedName>
    <definedName name="solver_rel1" localSheetId="1" hidden="1">3</definedName>
    <definedName name="solver_rel2" localSheetId="3" hidden="1">3</definedName>
    <definedName name="solver_rel2" localSheetId="1" hidden="1">3</definedName>
    <definedName name="solver_rel3" localSheetId="3" hidden="1">2</definedName>
    <definedName name="solver_rel3" localSheetId="1" hidden="1">2</definedName>
    <definedName name="solver_rel4" localSheetId="3" hidden="1">2</definedName>
    <definedName name="solver_rel4" localSheetId="1" hidden="1">2</definedName>
    <definedName name="solver_rel5" localSheetId="3" hidden="1">2</definedName>
    <definedName name="solver_rel5" localSheetId="1" hidden="1">2</definedName>
    <definedName name="solver_rel6" localSheetId="3" hidden="1">2</definedName>
    <definedName name="solver_rel6" localSheetId="1" hidden="1">2</definedName>
    <definedName name="solver_rhs0" localSheetId="3" hidden="1">'spray dry sens'!#REF!</definedName>
    <definedName name="solver_rhs0" localSheetId="1" hidden="1">wetbulb!#REF!</definedName>
    <definedName name="solver_rhs1" localSheetId="3" hidden="1">0</definedName>
    <definedName name="solver_rhs1" localSheetId="1" hidden="1">0</definedName>
    <definedName name="solver_rhs2" localSheetId="3" hidden="1">0</definedName>
    <definedName name="solver_rhs2" localSheetId="1" hidden="1">0</definedName>
    <definedName name="solver_rhs3" localSheetId="3" hidden="1">'spray dry sens'!$R$15</definedName>
    <definedName name="solver_rhs3" localSheetId="1" hidden="1">wetbulb!$R$15</definedName>
    <definedName name="solver_rhs4" localSheetId="3" hidden="1">'spray dry sens'!$R$15</definedName>
    <definedName name="solver_rhs4" localSheetId="1" hidden="1">wetbulb!$R$15</definedName>
    <definedName name="solver_rhs5" localSheetId="3" hidden="1">'spray dry sens'!$R$15</definedName>
    <definedName name="solver_rhs5" localSheetId="1" hidden="1">wetbulb!$R$15</definedName>
    <definedName name="solver_rhs6" localSheetId="3" hidden="1">'spray dry sens'!$R$15</definedName>
    <definedName name="solver_rhs6" localSheetId="1" hidden="1">wetbulb!$R$15</definedName>
    <definedName name="solver_rlx" localSheetId="3" hidden="1">2</definedName>
    <definedName name="solver_rlx" localSheetId="1" hidden="1">2</definedName>
    <definedName name="solver_rsd" localSheetId="3" hidden="1">0</definedName>
    <definedName name="solver_rsd" localSheetId="1" hidden="1">0</definedName>
    <definedName name="solver_scl" localSheetId="3" hidden="1">1</definedName>
    <definedName name="solver_scl" localSheetId="1" hidden="1">1</definedName>
    <definedName name="solver_sho" localSheetId="3" hidden="1">2</definedName>
    <definedName name="solver_sho" localSheetId="1" hidden="1">2</definedName>
    <definedName name="solver_ssz" localSheetId="3" hidden="1">100</definedName>
    <definedName name="solver_ssz" localSheetId="1" hidden="1">100</definedName>
    <definedName name="solver_tim" localSheetId="3" hidden="1">2147483647</definedName>
    <definedName name="solver_tim" localSheetId="1" hidden="1">2147483647</definedName>
    <definedName name="solver_tol" localSheetId="3" hidden="1">0.01</definedName>
    <definedName name="solver_tol" localSheetId="1" hidden="1">0.01</definedName>
    <definedName name="solver_typ" localSheetId="3" hidden="1">3</definedName>
    <definedName name="solver_typ" localSheetId="1" hidden="1">3</definedName>
    <definedName name="solver_val" localSheetId="3" hidden="1">0</definedName>
    <definedName name="solver_val" localSheetId="1" hidden="1">0</definedName>
    <definedName name="solver_ver" localSheetId="3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C33" i="7"/>
  <c r="C32" i="7"/>
  <c r="D20" i="7"/>
  <c r="D21" i="7" s="1"/>
  <c r="H13" i="7"/>
  <c r="D8" i="7"/>
  <c r="F5" i="7"/>
  <c r="H5" i="7" s="1"/>
  <c r="J4" i="7"/>
  <c r="H4" i="7"/>
  <c r="F4" i="7"/>
  <c r="H2" i="1"/>
  <c r="D25" i="1"/>
  <c r="C33" i="1"/>
  <c r="C32" i="1"/>
  <c r="D26" i="1"/>
  <c r="D27" i="1" s="1"/>
  <c r="B2" i="8"/>
  <c r="W16" i="10"/>
  <c r="W15" i="10"/>
  <c r="W14" i="10"/>
  <c r="Z13" i="10"/>
  <c r="W13" i="10"/>
  <c r="Z12" i="10"/>
  <c r="W12" i="10"/>
  <c r="Z11" i="10"/>
  <c r="W11" i="10"/>
  <c r="W10" i="10"/>
  <c r="W9" i="10"/>
  <c r="W8" i="10"/>
  <c r="W7" i="10"/>
  <c r="Y6" i="10"/>
  <c r="X6" i="10"/>
  <c r="G6" i="10"/>
  <c r="D6" i="10"/>
  <c r="F6" i="10" s="1"/>
  <c r="Y5" i="10"/>
  <c r="X5" i="10"/>
  <c r="G5" i="10"/>
  <c r="D5" i="10"/>
  <c r="E5" i="10" s="1"/>
  <c r="F5" i="10"/>
  <c r="W5" i="10" s="1"/>
  <c r="Y4" i="10"/>
  <c r="X4" i="10"/>
  <c r="G4" i="10"/>
  <c r="D4" i="10"/>
  <c r="E4" i="10" s="1"/>
  <c r="Y3" i="10"/>
  <c r="X3" i="10"/>
  <c r="G3" i="10"/>
  <c r="D3" i="10"/>
  <c r="F3" i="10" s="1"/>
  <c r="Y2" i="10"/>
  <c r="X2" i="10"/>
  <c r="G2" i="10"/>
  <c r="D2" i="10"/>
  <c r="E2" i="10" s="1"/>
  <c r="K2" i="10" s="1"/>
  <c r="N2" i="10" s="1"/>
  <c r="D2" i="9"/>
  <c r="E2" i="9" s="1"/>
  <c r="H2" i="9" s="1"/>
  <c r="H5" i="10"/>
  <c r="J5" i="10" s="1"/>
  <c r="R14" i="9"/>
  <c r="R13" i="9"/>
  <c r="R12" i="9"/>
  <c r="R11" i="9"/>
  <c r="N8" i="9"/>
  <c r="K8" i="9"/>
  <c r="P8" i="9"/>
  <c r="N7" i="9"/>
  <c r="K7" i="9"/>
  <c r="P7" i="9"/>
  <c r="L6" i="9"/>
  <c r="K6" i="9"/>
  <c r="F6" i="9"/>
  <c r="E6" i="9"/>
  <c r="H6" i="9"/>
  <c r="D6" i="9"/>
  <c r="L5" i="9"/>
  <c r="K5" i="9"/>
  <c r="F5" i="9"/>
  <c r="E5" i="9"/>
  <c r="H5" i="9"/>
  <c r="D5" i="9"/>
  <c r="L4" i="9"/>
  <c r="K4" i="9"/>
  <c r="F4" i="9"/>
  <c r="D4" i="9"/>
  <c r="E4" i="9"/>
  <c r="L3" i="9"/>
  <c r="K3" i="9"/>
  <c r="F3" i="9"/>
  <c r="D3" i="9"/>
  <c r="E3" i="9" s="1"/>
  <c r="L2" i="9"/>
  <c r="K2" i="9"/>
  <c r="F2" i="9"/>
  <c r="H2" i="8"/>
  <c r="L3" i="6"/>
  <c r="L4" i="6"/>
  <c r="L5" i="6"/>
  <c r="L6" i="6"/>
  <c r="L7" i="6"/>
  <c r="L8" i="6"/>
  <c r="N8" i="6"/>
  <c r="P8" i="6"/>
  <c r="L9" i="6"/>
  <c r="N9" i="6"/>
  <c r="L10" i="6"/>
  <c r="L11" i="6"/>
  <c r="L12" i="6"/>
  <c r="K3" i="6"/>
  <c r="K4" i="6"/>
  <c r="K5" i="6"/>
  <c r="K6" i="6"/>
  <c r="K7" i="6"/>
  <c r="K8" i="6"/>
  <c r="K9" i="6"/>
  <c r="K10" i="6"/>
  <c r="K11" i="6"/>
  <c r="K12" i="6"/>
  <c r="F3" i="6"/>
  <c r="F4" i="6"/>
  <c r="F5" i="6"/>
  <c r="F6" i="6"/>
  <c r="F7" i="6"/>
  <c r="G7" i="6"/>
  <c r="I7" i="6"/>
  <c r="J7" i="6"/>
  <c r="F8" i="6"/>
  <c r="F9" i="6"/>
  <c r="F10" i="6"/>
  <c r="F11" i="6"/>
  <c r="F12" i="6"/>
  <c r="D7" i="6"/>
  <c r="E7" i="6"/>
  <c r="H7" i="6"/>
  <c r="D8" i="6"/>
  <c r="E8" i="6"/>
  <c r="D9" i="6"/>
  <c r="E9" i="6"/>
  <c r="D10" i="6"/>
  <c r="E10" i="6"/>
  <c r="D11" i="6"/>
  <c r="E11" i="6"/>
  <c r="D12" i="6"/>
  <c r="E12" i="6"/>
  <c r="D3" i="6"/>
  <c r="E3" i="6"/>
  <c r="D4" i="6"/>
  <c r="E4" i="6"/>
  <c r="G4" i="6"/>
  <c r="I4" i="6"/>
  <c r="J4" i="6"/>
  <c r="D5" i="6"/>
  <c r="E5" i="6"/>
  <c r="D6" i="6"/>
  <c r="E6" i="6"/>
  <c r="G6" i="6"/>
  <c r="I6" i="6"/>
  <c r="J6" i="6"/>
  <c r="C7" i="6"/>
  <c r="C8" i="6"/>
  <c r="C9" i="6"/>
  <c r="C10" i="6"/>
  <c r="C11" i="6"/>
  <c r="C12" i="6"/>
  <c r="C3" i="6"/>
  <c r="C4" i="6"/>
  <c r="C5" i="6"/>
  <c r="C6" i="6"/>
  <c r="C2" i="6"/>
  <c r="R14" i="6"/>
  <c r="R13" i="6"/>
  <c r="R12" i="6"/>
  <c r="R11" i="6"/>
  <c r="L2" i="6"/>
  <c r="K2" i="6"/>
  <c r="F2" i="6"/>
  <c r="D2" i="6"/>
  <c r="E2" i="6"/>
  <c r="C3" i="3"/>
  <c r="B3" i="3"/>
  <c r="A3" i="3"/>
  <c r="E3" i="3"/>
  <c r="D3" i="3"/>
  <c r="H3" i="3"/>
  <c r="H2" i="3"/>
  <c r="G2" i="3"/>
  <c r="I2" i="3"/>
  <c r="D37" i="1"/>
  <c r="T10" i="1"/>
  <c r="F10" i="1" s="1"/>
  <c r="H10" i="1" s="1"/>
  <c r="L10" i="1" s="1"/>
  <c r="I28" i="1"/>
  <c r="H28" i="1"/>
  <c r="G28" i="1"/>
  <c r="F22" i="1"/>
  <c r="H22" i="1"/>
  <c r="R22" i="1" s="1"/>
  <c r="H19" i="1"/>
  <c r="N22" i="1" s="1"/>
  <c r="T21" i="1"/>
  <c r="R21" i="1" s="1"/>
  <c r="T20" i="1"/>
  <c r="J20" i="1" s="1"/>
  <c r="R20" i="1"/>
  <c r="H20" i="1"/>
  <c r="L20" i="1" s="1"/>
  <c r="J19" i="1"/>
  <c r="F19" i="1"/>
  <c r="I14" i="1"/>
  <c r="H14" i="1"/>
  <c r="G14" i="1"/>
  <c r="F11" i="1"/>
  <c r="H11" i="1" s="1"/>
  <c r="T11" i="1" s="1"/>
  <c r="J11" i="1" s="1"/>
  <c r="H8" i="1"/>
  <c r="H9" i="1"/>
  <c r="L9" i="1" s="1"/>
  <c r="V9" i="1" s="1"/>
  <c r="X9" i="1" s="1"/>
  <c r="T9" i="1"/>
  <c r="J9" i="1" s="1"/>
  <c r="R9" i="1"/>
  <c r="J8" i="1"/>
  <c r="F8" i="1"/>
  <c r="F3" i="1"/>
  <c r="T3" i="1" s="1"/>
  <c r="J3" i="1" s="1"/>
  <c r="J2" i="1"/>
  <c r="F2" i="1"/>
  <c r="G3" i="3"/>
  <c r="I3" i="3"/>
  <c r="H6" i="6"/>
  <c r="G4" i="9"/>
  <c r="I4" i="9"/>
  <c r="J4" i="9"/>
  <c r="H4" i="9"/>
  <c r="N4" i="9"/>
  <c r="P4" i="9" s="1"/>
  <c r="P6" i="9"/>
  <c r="N5" i="9"/>
  <c r="P5" i="9"/>
  <c r="G5" i="9"/>
  <c r="I5" i="9"/>
  <c r="J5" i="9"/>
  <c r="N6" i="9"/>
  <c r="G6" i="9"/>
  <c r="I6" i="9"/>
  <c r="J6" i="9"/>
  <c r="J3" i="3"/>
  <c r="A2" i="4"/>
  <c r="B2" i="4"/>
  <c r="E2" i="4"/>
  <c r="H2" i="6"/>
  <c r="R3" i="6"/>
  <c r="G2" i="6"/>
  <c r="I2" i="6"/>
  <c r="J2" i="6"/>
  <c r="H3" i="6"/>
  <c r="G3" i="6"/>
  <c r="I3" i="6"/>
  <c r="J3" i="6"/>
  <c r="N3" i="6"/>
  <c r="N12" i="6"/>
  <c r="H12" i="6"/>
  <c r="G12" i="6"/>
  <c r="I12" i="6"/>
  <c r="J12" i="6"/>
  <c r="N11" i="6"/>
  <c r="P11" i="6"/>
  <c r="H11" i="6"/>
  <c r="G11" i="6"/>
  <c r="I11" i="6"/>
  <c r="J11" i="6"/>
  <c r="P12" i="6"/>
  <c r="N2" i="6"/>
  <c r="P2" i="6"/>
  <c r="H10" i="6"/>
  <c r="G10" i="6"/>
  <c r="I10" i="6"/>
  <c r="J10" i="6"/>
  <c r="N10" i="6"/>
  <c r="P10" i="6"/>
  <c r="P3" i="6"/>
  <c r="G9" i="6"/>
  <c r="I9" i="6"/>
  <c r="J9" i="6"/>
  <c r="H9" i="6"/>
  <c r="G5" i="6"/>
  <c r="I5" i="6"/>
  <c r="J5" i="6"/>
  <c r="N5" i="6"/>
  <c r="P5" i="6"/>
  <c r="H5" i="6"/>
  <c r="G8" i="6"/>
  <c r="I8" i="6"/>
  <c r="J8" i="6"/>
  <c r="H8" i="6"/>
  <c r="P9" i="6"/>
  <c r="K2" i="3"/>
  <c r="N2" i="3"/>
  <c r="P2" i="3"/>
  <c r="H4" i="6"/>
  <c r="N4" i="6"/>
  <c r="N6" i="6"/>
  <c r="P6" i="6"/>
  <c r="N7" i="6"/>
  <c r="P7" i="6"/>
  <c r="T11" i="6"/>
  <c r="P4" i="6"/>
  <c r="E3" i="10"/>
  <c r="K3" i="10" s="1"/>
  <c r="N3" i="10" s="1"/>
  <c r="L3" i="10"/>
  <c r="P22" i="1"/>
  <c r="F21" i="1" l="1"/>
  <c r="H21" i="1" s="1"/>
  <c r="L21" i="1" s="1"/>
  <c r="N3" i="9"/>
  <c r="P3" i="9" s="1"/>
  <c r="G3" i="9"/>
  <c r="I3" i="9" s="1"/>
  <c r="J3" i="9" s="1"/>
  <c r="H3" i="9"/>
  <c r="P11" i="1"/>
  <c r="N11" i="1"/>
  <c r="R10" i="1"/>
  <c r="R5" i="7"/>
  <c r="T5" i="7"/>
  <c r="J5" i="7" s="1"/>
  <c r="D9" i="7" s="1"/>
  <c r="D10" i="7" s="1"/>
  <c r="P9" i="1"/>
  <c r="L5" i="10"/>
  <c r="K5" i="10"/>
  <c r="N5" i="10" s="1"/>
  <c r="M5" i="10"/>
  <c r="O5" i="10" s="1"/>
  <c r="W6" i="10"/>
  <c r="I6" i="10"/>
  <c r="H6" i="10"/>
  <c r="J6" i="10" s="1"/>
  <c r="AA6" i="10"/>
  <c r="AC6" i="10" s="1"/>
  <c r="L4" i="10"/>
  <c r="K4" i="10"/>
  <c r="N4" i="10" s="1"/>
  <c r="E6" i="10"/>
  <c r="M3" i="10"/>
  <c r="F4" i="10"/>
  <c r="AA5" i="10"/>
  <c r="AC5" i="10" s="1"/>
  <c r="I5" i="10"/>
  <c r="AA3" i="10"/>
  <c r="AC3" i="10" s="1"/>
  <c r="I3" i="10"/>
  <c r="W3" i="10"/>
  <c r="H3" i="10"/>
  <c r="J3" i="10" s="1"/>
  <c r="O3" i="10"/>
  <c r="P3" i="10" s="1"/>
  <c r="T11" i="9"/>
  <c r="N9" i="1"/>
  <c r="N10" i="1"/>
  <c r="R11" i="1"/>
  <c r="T22" i="1"/>
  <c r="J22" i="1" s="1"/>
  <c r="G2" i="9"/>
  <c r="I2" i="9" s="1"/>
  <c r="J2" i="9" s="1"/>
  <c r="N2" i="9"/>
  <c r="P2" i="9" s="1"/>
  <c r="R3" i="9"/>
  <c r="P20" i="1"/>
  <c r="N20" i="1"/>
  <c r="F2" i="10"/>
  <c r="L2" i="10"/>
  <c r="M2" i="10" s="1"/>
  <c r="O2" i="10" s="1"/>
  <c r="P2" i="10" s="1"/>
  <c r="R3" i="1"/>
  <c r="H3" i="1"/>
  <c r="P3" i="1" s="1"/>
  <c r="P5" i="7"/>
  <c r="L5" i="7"/>
  <c r="N21" i="1" l="1"/>
  <c r="P5" i="10"/>
  <c r="L6" i="10"/>
  <c r="M6" i="10" s="1"/>
  <c r="O6" i="10" s="1"/>
  <c r="K6" i="10"/>
  <c r="N6" i="10" s="1"/>
  <c r="M4" i="10"/>
  <c r="O4" i="10" s="1"/>
  <c r="P4" i="10" s="1"/>
  <c r="W4" i="10"/>
  <c r="I4" i="10"/>
  <c r="H4" i="10"/>
  <c r="J4" i="10" s="1"/>
  <c r="AA4" i="10"/>
  <c r="R3" i="10"/>
  <c r="Q3" i="10"/>
  <c r="S3" i="10" s="1"/>
  <c r="I2" i="10"/>
  <c r="W2" i="10"/>
  <c r="AE3" i="10"/>
  <c r="H2" i="10"/>
  <c r="J2" i="10" s="1"/>
  <c r="AA2" i="10"/>
  <c r="AC2" i="10" s="1"/>
  <c r="R2" i="10"/>
  <c r="Q2" i="10"/>
  <c r="S2" i="10" s="1"/>
  <c r="L3" i="1"/>
  <c r="V3" i="1" s="1"/>
  <c r="X3" i="1" s="1"/>
  <c r="D7" i="7"/>
  <c r="V5" i="7"/>
  <c r="X5" i="7" s="1"/>
  <c r="Q4" i="10" l="1"/>
  <c r="S4" i="10" s="1"/>
  <c r="R4" i="10"/>
  <c r="T4" i="10" s="1"/>
  <c r="P6" i="10"/>
  <c r="AB11" i="10"/>
  <c r="AC4" i="10"/>
  <c r="Q5" i="10"/>
  <c r="S5" i="10" s="1"/>
  <c r="R5" i="10"/>
  <c r="T3" i="10"/>
  <c r="U3" i="10" s="1"/>
  <c r="V3" i="10" s="1"/>
  <c r="T2" i="10"/>
  <c r="U2" i="10" s="1"/>
  <c r="V2" i="10" s="1"/>
  <c r="D15" i="7"/>
  <c r="D14" i="7"/>
  <c r="D22" i="7"/>
  <c r="U4" i="10" l="1"/>
  <c r="V4" i="10" s="1"/>
  <c r="Q6" i="10"/>
  <c r="S6" i="10" s="1"/>
  <c r="R6" i="10"/>
  <c r="T6" i="10" s="1"/>
  <c r="T5" i="10"/>
  <c r="U5" i="10" s="1"/>
  <c r="V5" i="10" s="1"/>
  <c r="F13" i="7"/>
  <c r="D24" i="7" s="1"/>
  <c r="D16" i="7"/>
  <c r="D17" i="7"/>
  <c r="D23" i="7" s="1"/>
  <c r="U6" i="10" l="1"/>
  <c r="V6" i="10" s="1"/>
</calcChain>
</file>

<file path=xl/sharedStrings.xml><?xml version="1.0" encoding="utf-8"?>
<sst xmlns="http://schemas.openxmlformats.org/spreadsheetml/2006/main" count="348" uniqueCount="161">
  <si>
    <t>Inlet RH conversions</t>
  </si>
  <si>
    <t xml:space="preserve">Pressure </t>
  </si>
  <si>
    <t>hPa</t>
  </si>
  <si>
    <t>Dewcon raw</t>
  </si>
  <si>
    <t>AH Normalized</t>
  </si>
  <si>
    <t>Hum ratio</t>
  </si>
  <si>
    <t>grams water /g dry air</t>
  </si>
  <si>
    <t>specific humidity</t>
  </si>
  <si>
    <t>grams water/kg moist air</t>
  </si>
  <si>
    <t>Cv=1-(0.0001*(SQRT((0.1*T)+1)+4))</t>
  </si>
  <si>
    <t>Temperature (C)</t>
  </si>
  <si>
    <t>C</t>
  </si>
  <si>
    <t>Cv</t>
  </si>
  <si>
    <t>Ps</t>
  </si>
  <si>
    <t>fs</t>
  </si>
  <si>
    <t>%RH=(f/fs)*100=(Pd/Ps)*100</t>
  </si>
  <si>
    <t>Relative Humidity</t>
  </si>
  <si>
    <t>%RH</t>
  </si>
  <si>
    <t>g/m3</t>
  </si>
  <si>
    <t>Pd</t>
  </si>
  <si>
    <t>%vol</t>
  </si>
  <si>
    <t>g/kg</t>
  </si>
  <si>
    <t>DP</t>
  </si>
  <si>
    <t>g/m3 corrected to 0</t>
  </si>
  <si>
    <t>g/Nm3</t>
  </si>
  <si>
    <t>kg/kg</t>
  </si>
  <si>
    <t>Outlet Moisture Conversions -1 (equations based on Temperature in C) For Air ONLY</t>
  </si>
  <si>
    <t>Ps=6.1078*EXP(17.08085*T/(234.175+T))</t>
  </si>
  <si>
    <t>Pm</t>
  </si>
  <si>
    <t>Pressure at measuring point, hPa</t>
  </si>
  <si>
    <t>Gas/Probe Temperature (C)</t>
  </si>
  <si>
    <t>Absolute Moisture</t>
  </si>
  <si>
    <t>%vol=0.124522(f) = Pd/Pa</t>
  </si>
  <si>
    <t>% Volume</t>
  </si>
  <si>
    <t>GKG=621.98*[Pd/(Pm-Pd)],</t>
  </si>
  <si>
    <t>Humidity Ratio</t>
  </si>
  <si>
    <t>Pd=Cv*461.51*(T+273.15)*D13*0.00001</t>
  </si>
  <si>
    <t>Partial Pressure H2O</t>
  </si>
  <si>
    <t>Pd (Pa)</t>
  </si>
  <si>
    <t>DP=[234.175*LN(Pd/6.1078)]/[17.08085-LN(Pd/6.1078)]</t>
  </si>
  <si>
    <t>DewPoint</t>
  </si>
  <si>
    <t>DP (C)</t>
  </si>
  <si>
    <t>Outlet Moisture Conversions -2 (equations based on Temperature in C) For Air ONLY</t>
  </si>
  <si>
    <t>Molecular Wt of Water=</t>
  </si>
  <si>
    <t>kg/kmol</t>
  </si>
  <si>
    <t>Molecular Wt of air=</t>
  </si>
  <si>
    <t>Gas Constant of Air=</t>
  </si>
  <si>
    <t>kJ/(kg K)</t>
  </si>
  <si>
    <t>Gas Constant of Water=</t>
  </si>
  <si>
    <t>DPF</t>
  </si>
  <si>
    <t>DPC</t>
  </si>
  <si>
    <t>F</t>
  </si>
  <si>
    <t>absolute humidity at process</t>
  </si>
  <si>
    <t>% volume</t>
  </si>
  <si>
    <t>vapor pressure</t>
  </si>
  <si>
    <t xml:space="preserve">saturation pressure </t>
  </si>
  <si>
    <t>dewpoint temperature</t>
  </si>
  <si>
    <t>Temperature C</t>
  </si>
  <si>
    <t>rh decimal</t>
  </si>
  <si>
    <t>Rh</t>
  </si>
  <si>
    <t>Wet Bulb Temperature</t>
  </si>
  <si>
    <t>Note: g/Nm3 is normalized to temperature (0C) and pressure (1013 hPa).  The actual units of the H2O Sensor are only corrected to temperature because we do not have a pressure measurement.</t>
  </si>
  <si>
    <t>Tw</t>
  </si>
  <si>
    <t>wet bulb equation</t>
  </si>
  <si>
    <t>D2 is gas vapor pressure</t>
  </si>
  <si>
    <t>A</t>
  </si>
  <si>
    <t>K</t>
  </si>
  <si>
    <t>P</t>
  </si>
  <si>
    <t>T</t>
  </si>
  <si>
    <t>Pw</t>
  </si>
  <si>
    <t>B</t>
  </si>
  <si>
    <t>Main eq</t>
  </si>
  <si>
    <t>Solver</t>
  </si>
  <si>
    <t>0=((Tw*K*P)-(K*T*P)-Pw)*EXP(3999.91/(Tw+234.175))+1.5996*10^8</t>
  </si>
  <si>
    <t>T is temp C</t>
  </si>
  <si>
    <t>.000662 is pschometric constant - K</t>
  </si>
  <si>
    <t>P - total pressure used 1013 for 1 atm.  Is a vairable input if total pressure varies</t>
  </si>
  <si>
    <t>Tw is wet bulb</t>
  </si>
  <si>
    <t>Yearly Operation (Hrs)</t>
  </si>
  <si>
    <t>Steam Temperature (F)</t>
  </si>
  <si>
    <t>Steam Pressure (psia)</t>
  </si>
  <si>
    <t>Liquid Enthalpy (BTU / Lb)</t>
  </si>
  <si>
    <t>Boiler Size (lb/hr)</t>
  </si>
  <si>
    <t>BTUs / yr</t>
  </si>
  <si>
    <t>natural gas volume (mcf)</t>
  </si>
  <si>
    <t>Boiler efficiency (decimal)</t>
  </si>
  <si>
    <t>Gas price  / mcf</t>
  </si>
  <si>
    <t>Gas bill $</t>
  </si>
  <si>
    <t>Vapor Enthalpy (BTU/lb)</t>
  </si>
  <si>
    <t>Steam Quality (decimal)</t>
  </si>
  <si>
    <t>Steam Enthalpy (Btu/hr)</t>
  </si>
  <si>
    <t>Difference in BTUs</t>
  </si>
  <si>
    <t>BTU difference</t>
  </si>
  <si>
    <t>Yearly Gas Bill $</t>
  </si>
  <si>
    <t>NCG Heat tranfer hit (decimal</t>
  </si>
  <si>
    <t>NCG Increase in energy</t>
  </si>
  <si>
    <t>Temperature F</t>
  </si>
  <si>
    <t>Pressure (HPa)</t>
  </si>
  <si>
    <t>Turbine System efficiency (decimal)</t>
  </si>
  <si>
    <t>Plant capacity</t>
  </si>
  <si>
    <t>hours per year</t>
  </si>
  <si>
    <t>Plant capacity (MW)</t>
  </si>
  <si>
    <t>Gas price  / mmbtu</t>
  </si>
  <si>
    <t>BTU Deviation (Btu/kWh)</t>
  </si>
  <si>
    <t>FW temp drop (F)</t>
  </si>
  <si>
    <t>Fuel savings</t>
  </si>
  <si>
    <t>Factor 1</t>
  </si>
  <si>
    <t>Factor 2</t>
  </si>
  <si>
    <t>Factor 3</t>
  </si>
  <si>
    <t>Factor 4</t>
  </si>
  <si>
    <t>Factor 5</t>
  </si>
  <si>
    <t>Factor 6</t>
  </si>
  <si>
    <t>Factor 7</t>
  </si>
  <si>
    <t>Factor 8</t>
  </si>
  <si>
    <t>Factor 9</t>
  </si>
  <si>
    <t>Factor 10</t>
  </si>
  <si>
    <t>Factor 11</t>
  </si>
  <si>
    <t>humidity ratio g/kg</t>
  </si>
  <si>
    <t>Mol wt ratio M</t>
  </si>
  <si>
    <t>Gas Density dry air</t>
  </si>
  <si>
    <t>kg/m3</t>
  </si>
  <si>
    <t>Mol wt mix air/h2o</t>
  </si>
  <si>
    <t>Gas Density Mix</t>
  </si>
  <si>
    <t>Universal Gas Constant</t>
  </si>
  <si>
    <t>J/kmol</t>
  </si>
  <si>
    <t>Evaporation constant</t>
  </si>
  <si>
    <t>kJ/kg</t>
  </si>
  <si>
    <t>Specific heat of air, Cp</t>
  </si>
  <si>
    <t>kg/hr</t>
  </si>
  <si>
    <t>Mol wt mixed gas</t>
  </si>
  <si>
    <t>Mixed gas density</t>
  </si>
  <si>
    <t>Dry gas density</t>
  </si>
  <si>
    <t>Gas flow rate</t>
  </si>
  <si>
    <t>Mass flow rate</t>
  </si>
  <si>
    <t>g/m3 sat</t>
  </si>
  <si>
    <t>m3/hr</t>
  </si>
  <si>
    <t>Humidity ratio - inlet</t>
  </si>
  <si>
    <t>Temperature C -Ambient</t>
  </si>
  <si>
    <t>Temperature  -Inlet</t>
  </si>
  <si>
    <t>Temperature  -Outlet</t>
  </si>
  <si>
    <t>Enthalpy - Ambient</t>
  </si>
  <si>
    <t>Enthalpy -  Inlet</t>
  </si>
  <si>
    <t>Enthalpy - Outlet</t>
  </si>
  <si>
    <t>Energy Usage</t>
  </si>
  <si>
    <t>kJ/hr</t>
  </si>
  <si>
    <t>H2O mass (solids) - IN</t>
  </si>
  <si>
    <t>H2O mass (solids) - Out</t>
  </si>
  <si>
    <t>Evaporation rate</t>
  </si>
  <si>
    <t>Evaporation Energy - min</t>
  </si>
  <si>
    <t>Humidity ratio - outlet</t>
  </si>
  <si>
    <t>Dryer efficiency</t>
  </si>
  <si>
    <t>Exhaust RH</t>
  </si>
  <si>
    <t>Dryer Efficiency Spreadheet</t>
  </si>
  <si>
    <t>Convective Dryers</t>
  </si>
  <si>
    <t>absolute humidity at process g/m3</t>
  </si>
  <si>
    <t>vapor pressure Hpa</t>
  </si>
  <si>
    <t>saturation pressure Hpa</t>
  </si>
  <si>
    <t>dewpoint temperature C</t>
  </si>
  <si>
    <t>Rh %</t>
  </si>
  <si>
    <t>Wet Bulb Temperature C</t>
  </si>
  <si>
    <t>Normal Abs Humidity g/Nm3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</si>
</sst>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0.0000"/>
    <numFmt numFmtId="166" formatCode="&quot;$&quot;#,##0.00"/>
    <numFmt numFmtId="167" formatCode="0.000"/>
  </numFmts>
  <fonts count="9">
    <font>
      <sz val="10"/>
      <name val="Arial"/>
    </font>
    <font>
      <sz val="10"/>
      <name val="Arial"/>
      <family val="2"/>
    </font>
    <font>
      <sz val="9"/>
      <name val="Geneva"/>
    </font>
    <font>
      <sz val="7"/>
      <name val="Geneva"/>
    </font>
    <font>
      <b/>
      <sz val="9"/>
      <name val="Geneva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2" borderId="0" xfId="0" applyNumberFormat="1" applyFont="1" applyFill="1" applyAlignment="1" applyProtection="1">
      <alignment horizontal="right"/>
      <protection locked="0"/>
    </xf>
    <xf numFmtId="164" fontId="2" fillId="0" borderId="0" xfId="0" applyNumberFormat="1" applyFont="1" applyAlignment="1">
      <alignment horizontal="right"/>
    </xf>
    <xf numFmtId="0" fontId="3" fillId="0" borderId="1" xfId="0" applyFont="1" applyBorder="1"/>
    <xf numFmtId="164" fontId="2" fillId="2" borderId="1" xfId="0" applyNumberFormat="1" applyFont="1" applyFill="1" applyBorder="1" applyAlignment="1" applyProtection="1">
      <alignment horizontal="right"/>
      <protection locked="0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0" fontId="2" fillId="0" borderId="2" xfId="0" applyFont="1" applyBorder="1"/>
    <xf numFmtId="0" fontId="2" fillId="0" borderId="2" xfId="0" applyFont="1" applyBorder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2" fillId="0" borderId="3" xfId="0" applyFont="1" applyBorder="1"/>
    <xf numFmtId="0" fontId="2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4" fontId="6" fillId="0" borderId="0" xfId="1" applyFont="1"/>
    <xf numFmtId="44" fontId="0" fillId="0" borderId="0" xfId="1" applyFont="1"/>
    <xf numFmtId="3" fontId="0" fillId="0" borderId="0" xfId="0" applyNumberFormat="1"/>
    <xf numFmtId="2" fontId="0" fillId="0" borderId="0" xfId="1" applyNumberFormat="1" applyFont="1"/>
    <xf numFmtId="166" fontId="0" fillId="0" borderId="0" xfId="0" applyNumberFormat="1"/>
    <xf numFmtId="165" fontId="2" fillId="0" borderId="0" xfId="0" applyNumberFormat="1" applyFont="1"/>
    <xf numFmtId="2" fontId="2" fillId="0" borderId="0" xfId="0" applyNumberFormat="1" applyFont="1"/>
    <xf numFmtId="167" fontId="2" fillId="0" borderId="0" xfId="0" applyNumberFormat="1" applyFont="1"/>
    <xf numFmtId="165" fontId="2" fillId="3" borderId="4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/>
    <xf numFmtId="165" fontId="2" fillId="0" borderId="3" xfId="0" applyNumberFormat="1" applyFont="1" applyBorder="1" applyProtection="1">
      <protection locked="0"/>
    </xf>
    <xf numFmtId="165" fontId="2" fillId="0" borderId="0" xfId="0" applyNumberFormat="1" applyFont="1" applyProtection="1">
      <protection locked="0"/>
    </xf>
    <xf numFmtId="0" fontId="8" fillId="0" borderId="0" xfId="0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topLeftCell="C1" zoomScale="90" zoomScaleNormal="90" workbookViewId="0">
      <selection activeCell="D4" sqref="D4"/>
    </sheetView>
  </sheetViews>
  <sheetFormatPr defaultColWidth="10.6640625" defaultRowHeight="13.2"/>
  <cols>
    <col min="1" max="1" width="2.44140625" style="1" customWidth="1"/>
    <col min="2" max="2" width="33" style="1" customWidth="1"/>
    <col min="3" max="3" width="22.6640625" style="1" customWidth="1"/>
    <col min="4" max="4" width="8.6640625" style="13" customWidth="1"/>
    <col min="5" max="5" width="9.5546875" style="1" customWidth="1"/>
    <col min="6" max="6" width="10.33203125" style="1" customWidth="1"/>
    <col min="7" max="7" width="6.109375" style="1" customWidth="1"/>
    <col min="8" max="8" width="11.5546875" style="1" customWidth="1"/>
    <col min="9" max="9" width="6.44140625" style="1" customWidth="1"/>
    <col min="10" max="10" width="14" style="1" customWidth="1"/>
    <col min="11" max="11" width="3.6640625" style="1" customWidth="1"/>
    <col min="12" max="12" width="9.6640625" style="1" customWidth="1"/>
    <col min="13" max="13" width="5.33203125" style="1" customWidth="1"/>
    <col min="14" max="14" width="9" style="1" customWidth="1"/>
    <col min="15" max="15" width="4.109375" style="1" customWidth="1"/>
    <col min="16" max="16" width="8.109375" style="1" customWidth="1"/>
    <col min="17" max="18" width="10.6640625" style="1" customWidth="1"/>
    <col min="19" max="19" width="17.88671875" style="1" customWidth="1"/>
    <col min="20" max="20" width="18.44140625" style="1" customWidth="1"/>
    <col min="21" max="22" width="10.6640625" style="1" customWidth="1"/>
    <col min="23" max="23" width="18.109375" style="1" customWidth="1"/>
    <col min="24" max="24" width="16.109375" style="1" customWidth="1"/>
    <col min="25" max="25" width="23.5546875" style="1" customWidth="1"/>
    <col min="26" max="27" width="9.109375" customWidth="1"/>
    <col min="28" max="16384" width="10.6640625" style="1"/>
  </cols>
  <sheetData>
    <row r="1" spans="1:25">
      <c r="A1" s="1" t="s">
        <v>0</v>
      </c>
      <c r="C1" s="1" t="s">
        <v>1</v>
      </c>
      <c r="D1" s="2">
        <v>1013</v>
      </c>
      <c r="E1" s="1" t="s">
        <v>2</v>
      </c>
      <c r="F1" s="3"/>
      <c r="H1" s="3"/>
      <c r="J1" s="3"/>
      <c r="L1" s="3"/>
      <c r="N1" s="3"/>
      <c r="R1" s="1" t="s">
        <v>3</v>
      </c>
      <c r="T1" s="1" t="s">
        <v>4</v>
      </c>
      <c r="V1" s="1" t="s">
        <v>5</v>
      </c>
      <c r="W1" s="1" t="s">
        <v>6</v>
      </c>
      <c r="X1" s="1" t="s">
        <v>7</v>
      </c>
      <c r="Y1" s="1" t="s">
        <v>8</v>
      </c>
    </row>
    <row r="2" spans="1:25">
      <c r="B2" s="4" t="s">
        <v>9</v>
      </c>
      <c r="C2" s="1" t="s">
        <v>10</v>
      </c>
      <c r="D2" s="5">
        <v>2</v>
      </c>
      <c r="E2" s="1" t="s">
        <v>11</v>
      </c>
      <c r="F2" s="6">
        <f>1-(0.0001*(SQRT((0.1*$D$2)+1)+4))</f>
        <v>0.99949045548849902</v>
      </c>
      <c r="G2" s="1" t="s">
        <v>12</v>
      </c>
      <c r="H2" s="6">
        <f>6.1078*EXP(17.08085*D2/(234.175+D2))</f>
        <v>7.0583573221078497</v>
      </c>
      <c r="I2" s="1" t="s">
        <v>13</v>
      </c>
      <c r="J2" s="6">
        <f>(6.1078*EXP(17.08085*D2/(234.175+D2)))*100000/((1-0.0001*(SQRT((0.1*D2)+1)+4))*461.51*(D2+273.15))</f>
        <v>5.5612748089540807</v>
      </c>
      <c r="K2" s="1" t="s">
        <v>14</v>
      </c>
      <c r="L2" s="3"/>
      <c r="N2" s="3"/>
    </row>
    <row r="3" spans="1:25">
      <c r="B3" s="7" t="s">
        <v>15</v>
      </c>
      <c r="C3" s="1" t="s">
        <v>16</v>
      </c>
      <c r="D3" s="5">
        <v>20</v>
      </c>
      <c r="E3" s="1" t="s">
        <v>17</v>
      </c>
      <c r="F3" s="3">
        <f>D3/100*((6.1078*EXP(17.08085*D2/(234.175+D2)))*100000/((1-0.0001*(SQRT((0.1*D2)+1)+4))*461.51*(D2+273.15)))</f>
        <v>1.1122549617908162</v>
      </c>
      <c r="G3" s="1" t="s">
        <v>18</v>
      </c>
      <c r="H3" s="3">
        <f>(1-(0.0001*(SQRT((0.1*D2)+1)+4)))*461.51*(D2+273.15)*F3*0.00001</f>
        <v>1.4116714644215702</v>
      </c>
      <c r="I3" s="1" t="s">
        <v>19</v>
      </c>
      <c r="J3" s="6">
        <f>T3*0.1245222</f>
        <v>0.1395146070639593</v>
      </c>
      <c r="K3" s="1" t="s">
        <v>20</v>
      </c>
      <c r="L3" s="3">
        <f>621.98*H3/(D1-H3)</f>
        <v>0.86797306045632894</v>
      </c>
      <c r="M3" s="1" t="s">
        <v>21</v>
      </c>
      <c r="N3" s="3"/>
      <c r="P3" s="1">
        <f>(234.175*LN(H3/6.1078))/(17.08085-LN(H3/6.1078))</f>
        <v>-18.495866078485083</v>
      </c>
      <c r="Q3" s="1" t="s">
        <v>22</v>
      </c>
      <c r="R3" s="1">
        <f>F3*((D2+273.13)/273.13)</f>
        <v>1.1203994714513501</v>
      </c>
      <c r="S3" s="1" t="s">
        <v>23</v>
      </c>
      <c r="T3" s="1">
        <f>F3*((D2+273.13)/273.13)*(1013/D1)</f>
        <v>1.1203994714513501</v>
      </c>
      <c r="U3" s="1" t="s">
        <v>24</v>
      </c>
      <c r="V3" s="1">
        <f>L3/1000</f>
        <v>8.6797306045632893E-4</v>
      </c>
      <c r="W3" s="1" t="s">
        <v>25</v>
      </c>
      <c r="X3" s="1">
        <f>1000*(V3/(V3+1))</f>
        <v>0.86722033656670916</v>
      </c>
      <c r="Y3" s="1" t="s">
        <v>21</v>
      </c>
    </row>
    <row r="4" spans="1:25" ht="13.8" thickBot="1">
      <c r="D4" s="2">
        <v>19920</v>
      </c>
      <c r="F4" s="3"/>
      <c r="H4" s="3"/>
      <c r="J4" s="3"/>
      <c r="L4" s="3"/>
      <c r="N4" s="3"/>
    </row>
    <row r="5" spans="1:25" s="8" customFormat="1" ht="11.4">
      <c r="A5" s="8" t="s">
        <v>26</v>
      </c>
      <c r="D5" s="9"/>
    </row>
    <row r="6" spans="1:25">
      <c r="B6" s="7" t="s">
        <v>27</v>
      </c>
      <c r="D6" s="10"/>
      <c r="F6" s="3"/>
      <c r="H6" s="3"/>
      <c r="J6" s="3"/>
      <c r="L6" s="3"/>
      <c r="N6" s="3"/>
    </row>
    <row r="7" spans="1:25">
      <c r="B7" s="7" t="s">
        <v>28</v>
      </c>
      <c r="C7" s="1" t="s">
        <v>29</v>
      </c>
      <c r="D7" s="2">
        <v>1013</v>
      </c>
      <c r="E7" s="1" t="s">
        <v>2</v>
      </c>
      <c r="F7" s="3"/>
      <c r="H7" s="3"/>
      <c r="J7" s="3"/>
      <c r="L7" s="3"/>
      <c r="N7" s="3"/>
    </row>
    <row r="8" spans="1:25">
      <c r="B8" s="4" t="s">
        <v>9</v>
      </c>
      <c r="C8" s="1" t="s">
        <v>30</v>
      </c>
      <c r="D8" s="5">
        <v>113.1</v>
      </c>
      <c r="E8" s="1" t="s">
        <v>11</v>
      </c>
      <c r="F8" s="3">
        <f>1-(0.0001*(SQRT((0.1*D8)+1)+4))</f>
        <v>0.99924914390414299</v>
      </c>
      <c r="G8" s="1" t="s">
        <v>12</v>
      </c>
      <c r="H8" s="3">
        <f>6.1078*EXP(17.08085*D8/(234.175+D8))</f>
        <v>1591.4999194568643</v>
      </c>
      <c r="I8" s="1" t="s">
        <v>13</v>
      </c>
      <c r="J8" s="3">
        <f>(6.1078*EXP(17.08085*D8/(234.175+D8)))*100000/((1-0.0001*(SQRT((0.1*D8)+1)+4))*461.51*(D8+273.15))</f>
        <v>893.47669266097864</v>
      </c>
      <c r="K8" s="1" t="s">
        <v>14</v>
      </c>
      <c r="L8" s="3"/>
      <c r="N8" s="3"/>
    </row>
    <row r="9" spans="1:25">
      <c r="B9" s="7" t="s">
        <v>18</v>
      </c>
      <c r="C9" s="1" t="s">
        <v>31</v>
      </c>
      <c r="D9" s="5">
        <v>148.4</v>
      </c>
      <c r="E9" s="1" t="s">
        <v>18</v>
      </c>
      <c r="F9" s="3"/>
      <c r="H9" s="3">
        <f>(1-(0.0001*(SQRT((0.1*D8)+1)+4)))*461.51*(D8+273.15)*D9*0.00001</f>
        <v>264.33659656415284</v>
      </c>
      <c r="I9" s="1" t="s">
        <v>19</v>
      </c>
      <c r="J9" s="3">
        <f>T9*0.1245222</f>
        <v>26.131075535497384</v>
      </c>
      <c r="K9" s="1" t="s">
        <v>20</v>
      </c>
      <c r="L9" s="3">
        <f>621.98*H9/(D7-H9)</f>
        <v>219.60747056211653</v>
      </c>
      <c r="M9" s="1" t="s">
        <v>21</v>
      </c>
      <c r="N9" s="3">
        <f>100*H9/H8</f>
        <v>16.609274894237114</v>
      </c>
      <c r="O9" s="1" t="s">
        <v>17</v>
      </c>
      <c r="P9" s="1">
        <f>(234.175*LN(H9/6.1078))/(17.08085-LN(H9/6.1078))</f>
        <v>66.271928030816881</v>
      </c>
      <c r="Q9" s="1" t="s">
        <v>22</v>
      </c>
      <c r="R9" s="1">
        <f>D9*((D8+273.13)/273.13)</f>
        <v>209.85073774393149</v>
      </c>
      <c r="S9" s="1" t="s">
        <v>23</v>
      </c>
      <c r="T9" s="1">
        <f>D9*((D8+273.13)/273.13)*(1013/D7)</f>
        <v>209.85073774393149</v>
      </c>
      <c r="U9" s="1" t="s">
        <v>24</v>
      </c>
      <c r="V9" s="1">
        <f>L9/1000</f>
        <v>0.21960747056211652</v>
      </c>
      <c r="W9" s="1" t="s">
        <v>25</v>
      </c>
      <c r="X9" s="1">
        <f>1000*(V9/(V9+1))</f>
        <v>180.06405820136501</v>
      </c>
      <c r="Y9" s="1" t="s">
        <v>21</v>
      </c>
    </row>
    <row r="10" spans="1:25">
      <c r="B10" s="7" t="s">
        <v>32</v>
      </c>
      <c r="C10" s="1" t="s">
        <v>33</v>
      </c>
      <c r="D10" s="5">
        <v>15</v>
      </c>
      <c r="E10" s="1" t="s">
        <v>20</v>
      </c>
      <c r="F10" s="3">
        <f>T10*(273.15/(273.15+D8))*D7/1013</f>
        <v>85.189262691063774</v>
      </c>
      <c r="G10" s="1" t="s">
        <v>18</v>
      </c>
      <c r="H10" s="3">
        <f>(1-(0.0001*(SQRT((0.1*D8)+1)+4)))*461.51*(D8+273.15)*F10*0.00001</f>
        <v>151.74285554963183</v>
      </c>
      <c r="I10" s="1" t="s">
        <v>19</v>
      </c>
      <c r="J10" s="3"/>
      <c r="K10" s="1" t="s">
        <v>20</v>
      </c>
      <c r="L10" s="3">
        <f>621.98*H10/(D7-H10)</f>
        <v>109.58518243119076</v>
      </c>
      <c r="M10" s="1" t="s">
        <v>21</v>
      </c>
      <c r="N10" s="3">
        <f>100*H10/H8</f>
        <v>9.5345814155879776</v>
      </c>
      <c r="O10" s="1" t="s">
        <v>17</v>
      </c>
      <c r="R10" s="1">
        <f>T10*D7/1013</f>
        <v>120.46257629296498</v>
      </c>
      <c r="T10" s="1">
        <f>D10/0.12452</f>
        <v>120.46257629296498</v>
      </c>
      <c r="U10" s="1" t="s">
        <v>24</v>
      </c>
    </row>
    <row r="11" spans="1:25">
      <c r="B11" s="7" t="s">
        <v>34</v>
      </c>
      <c r="C11" s="1" t="s">
        <v>35</v>
      </c>
      <c r="D11" s="5">
        <v>839.9</v>
      </c>
      <c r="E11" s="1" t="s">
        <v>21</v>
      </c>
      <c r="F11" s="3">
        <f>D7*D11/(621.98+D11)</f>
        <v>582.00310559006209</v>
      </c>
      <c r="G11" s="1" t="s">
        <v>19</v>
      </c>
      <c r="H11" s="3">
        <f>F11/(1-(0.0001*(SQRT((0.1*D8)+1)+4)))/461.51/(D8+273.15)/0.00001</f>
        <v>326.73970230453477</v>
      </c>
      <c r="I11" s="1" t="s">
        <v>18</v>
      </c>
      <c r="J11" s="3">
        <f>T11*0.1245222</f>
        <v>57.534095966076329</v>
      </c>
      <c r="K11" s="1" t="s">
        <v>20</v>
      </c>
      <c r="L11" s="3"/>
      <c r="N11" s="3">
        <f>100*F11/H8</f>
        <v>36.569471256315488</v>
      </c>
      <c r="O11" s="1" t="s">
        <v>17</v>
      </c>
      <c r="P11" s="1">
        <f>(234.175*LN(F11/6.1078))/(17.08085-LN(F11/6.1078))</f>
        <v>85.205943566587322</v>
      </c>
      <c r="Q11" s="1" t="s">
        <v>22</v>
      </c>
      <c r="R11" s="1">
        <f>H11*((D8+273.13)/273.13)</f>
        <v>462.03886508651732</v>
      </c>
      <c r="T11" s="1">
        <f>H11*((D8+273.13)/273.13)*(1013/D7)</f>
        <v>462.03886508651732</v>
      </c>
      <c r="U11" s="1" t="s">
        <v>24</v>
      </c>
    </row>
    <row r="12" spans="1:25">
      <c r="B12" s="7" t="s">
        <v>36</v>
      </c>
      <c r="C12" s="1" t="s">
        <v>37</v>
      </c>
      <c r="D12" s="10"/>
      <c r="E12" s="1" t="s">
        <v>38</v>
      </c>
      <c r="F12" s="3"/>
      <c r="H12" s="3"/>
      <c r="J12" s="3"/>
      <c r="L12" s="3"/>
      <c r="N12" s="3"/>
    </row>
    <row r="13" spans="1:25">
      <c r="B13" s="7" t="s">
        <v>39</v>
      </c>
      <c r="C13" s="1" t="s">
        <v>40</v>
      </c>
      <c r="D13" s="10"/>
      <c r="E13" s="1" t="s">
        <v>41</v>
      </c>
      <c r="F13" s="3"/>
      <c r="H13" s="3"/>
      <c r="J13" s="3"/>
      <c r="L13" s="3"/>
      <c r="N13" s="3"/>
    </row>
    <row r="14" spans="1:25" ht="13.8" thickBot="1">
      <c r="D14" s="10"/>
      <c r="F14" s="3"/>
      <c r="G14" s="1">
        <f>550/60</f>
        <v>9.1666666666666661</v>
      </c>
      <c r="H14" s="3">
        <f>2500/9.17</f>
        <v>272.62813522355509</v>
      </c>
      <c r="I14" s="1">
        <f>2500/100</f>
        <v>25</v>
      </c>
      <c r="J14" s="3"/>
      <c r="L14" s="3"/>
      <c r="N14" s="3"/>
    </row>
    <row r="15" spans="1:25" s="8" customFormat="1" ht="12" thickBot="1">
      <c r="D15" s="9"/>
    </row>
    <row r="16" spans="1:25" s="8" customFormat="1" ht="11.4">
      <c r="A16" s="8" t="s">
        <v>42</v>
      </c>
      <c r="D16" s="9"/>
    </row>
    <row r="17" spans="2:21">
      <c r="B17" s="7" t="s">
        <v>27</v>
      </c>
      <c r="D17" s="10"/>
      <c r="F17" s="3"/>
      <c r="H17" s="3"/>
      <c r="J17" s="3"/>
      <c r="L17" s="3"/>
      <c r="N17" s="3"/>
    </row>
    <row r="18" spans="2:21">
      <c r="B18" s="7" t="s">
        <v>28</v>
      </c>
      <c r="C18" s="1" t="s">
        <v>29</v>
      </c>
      <c r="D18" s="2">
        <v>1013</v>
      </c>
      <c r="E18" s="1" t="s">
        <v>2</v>
      </c>
      <c r="F18" s="3"/>
      <c r="H18" s="3"/>
      <c r="J18" s="3"/>
      <c r="L18" s="3"/>
      <c r="N18" s="3"/>
    </row>
    <row r="19" spans="2:21">
      <c r="B19" s="4" t="s">
        <v>9</v>
      </c>
      <c r="C19" s="1" t="s">
        <v>30</v>
      </c>
      <c r="D19" s="5">
        <v>120</v>
      </c>
      <c r="E19" s="1" t="s">
        <v>11</v>
      </c>
      <c r="F19" s="3">
        <f>1-(0.0001*(SQRT((0.1*D19)+1)+4))</f>
        <v>0.99923944487245364</v>
      </c>
      <c r="G19" s="1" t="s">
        <v>12</v>
      </c>
      <c r="H19" s="3">
        <f>6.1078*EXP(17.08085*D19/(234.175+D19))</f>
        <v>1991.8603981946981</v>
      </c>
      <c r="I19" s="1" t="s">
        <v>13</v>
      </c>
      <c r="J19" s="3">
        <f>(6.1078*EXP(17.08085*D19/(234.175+D19)))*100000/((1-0.0001*(SQRT((0.1*D19)+1)+4))*461.51*(D19+273.15))</f>
        <v>1098.6261496291334</v>
      </c>
      <c r="K19" s="1" t="s">
        <v>14</v>
      </c>
      <c r="L19" s="3"/>
      <c r="N19" s="3"/>
    </row>
    <row r="20" spans="2:21">
      <c r="B20" s="7" t="s">
        <v>24</v>
      </c>
      <c r="C20" s="1" t="s">
        <v>31</v>
      </c>
      <c r="D20" s="5">
        <v>300</v>
      </c>
      <c r="E20" s="1" t="s">
        <v>18</v>
      </c>
      <c r="F20" s="3"/>
      <c r="H20" s="3">
        <f>(1-(0.0001*(SQRT((0.1*D19)+1)+4)))*461.51*(D19+273.15)*D20*0.00001</f>
        <v>543.91397807172984</v>
      </c>
      <c r="I20" s="1" t="s">
        <v>19</v>
      </c>
      <c r="J20" s="3">
        <f>T20*0.1245222</f>
        <v>53.769354321385421</v>
      </c>
      <c r="K20" s="1" t="s">
        <v>20</v>
      </c>
      <c r="L20" s="3">
        <f>621.98*H20/(D18-H20)</f>
        <v>721.19739294381691</v>
      </c>
      <c r="M20" s="1" t="s">
        <v>21</v>
      </c>
      <c r="N20" s="3">
        <f>100*H20/H19</f>
        <v>27.306832274224671</v>
      </c>
      <c r="O20" s="1" t="s">
        <v>17</v>
      </c>
      <c r="P20" s="1">
        <f>(234.175*LN(H20/6.1078))/(17.08085-LN(H20/6.1078))</f>
        <v>83.489152017078098</v>
      </c>
      <c r="Q20" s="1" t="s">
        <v>22</v>
      </c>
      <c r="R20" s="1">
        <f>D20*((D19+273.13)/273.13)</f>
        <v>431.80536740746163</v>
      </c>
      <c r="S20" s="1" t="s">
        <v>23</v>
      </c>
      <c r="T20" s="1">
        <f>D20*((D19+273.13)/273.13)*(1013/D18)</f>
        <v>431.80536740746163</v>
      </c>
      <c r="U20" s="1" t="s">
        <v>24</v>
      </c>
    </row>
    <row r="21" spans="2:21">
      <c r="B21" s="7" t="s">
        <v>32</v>
      </c>
      <c r="C21" s="1" t="s">
        <v>33</v>
      </c>
      <c r="D21" s="5">
        <v>100</v>
      </c>
      <c r="E21" s="1" t="s">
        <v>20</v>
      </c>
      <c r="F21" s="3">
        <f>T21*(273.15/(273.15+D19))</f>
        <v>557.96096001396222</v>
      </c>
      <c r="G21" s="1" t="s">
        <v>18</v>
      </c>
      <c r="H21" s="3">
        <f>(1-(0.0001*(SQRT((0.1*D19)+1)+4)))*461.51*(D19+273.15)*F21*0.00001</f>
        <v>1011.6092178997187</v>
      </c>
      <c r="I21" s="1" t="s">
        <v>19</v>
      </c>
      <c r="J21" s="3"/>
      <c r="K21" s="1" t="s">
        <v>20</v>
      </c>
      <c r="L21" s="3">
        <f>621.98*H21/(D18-H21)</f>
        <v>452407.82234831137</v>
      </c>
      <c r="M21" s="1" t="s">
        <v>21</v>
      </c>
      <c r="N21" s="3">
        <f>100*H21/H19</f>
        <v>50.787154502222158</v>
      </c>
      <c r="O21" s="1" t="s">
        <v>17</v>
      </c>
      <c r="R21" s="1">
        <f>T21*D18/1013</f>
        <v>803.08384195309986</v>
      </c>
      <c r="T21" s="1">
        <f>D21/0.12452</f>
        <v>803.08384195309986</v>
      </c>
      <c r="U21" s="1" t="s">
        <v>24</v>
      </c>
    </row>
    <row r="22" spans="2:21">
      <c r="B22" s="7" t="s">
        <v>34</v>
      </c>
      <c r="C22" s="1" t="s">
        <v>35</v>
      </c>
      <c r="D22" s="5">
        <v>266.10000000000002</v>
      </c>
      <c r="E22" s="1" t="s">
        <v>21</v>
      </c>
      <c r="F22" s="3">
        <f>D18*D22/(621.98+D22)</f>
        <v>303.53042518692013</v>
      </c>
      <c r="G22" s="1" t="s">
        <v>19</v>
      </c>
      <c r="H22" s="3">
        <f>F22/(1-(0.0001*(SQRT((0.1*D19)+1)+4)))/461.51/(D19+273.15)/0.00001</f>
        <v>167.41457514825515</v>
      </c>
      <c r="I22" s="1" t="s">
        <v>18</v>
      </c>
      <c r="J22" s="3">
        <f>T22*0.1245222</f>
        <v>30.005912032369121</v>
      </c>
      <c r="K22" s="1" t="s">
        <v>20</v>
      </c>
      <c r="L22" s="3"/>
      <c r="N22" s="3">
        <f>100*F22/H19</f>
        <v>15.238539079446619</v>
      </c>
      <c r="O22" s="1" t="s">
        <v>17</v>
      </c>
      <c r="P22" s="1">
        <f>(234.175*LN(F22/6.1078))/(17.08085-LN(F22/6.1078))</f>
        <v>69.424836553740718</v>
      </c>
      <c r="Q22" s="1" t="s">
        <v>22</v>
      </c>
      <c r="R22" s="1">
        <f>H22*((D19+273.13)/273.13)</f>
        <v>240.9683737708547</v>
      </c>
      <c r="T22" s="1">
        <f>H22*((D19+273.13)/273.13)*(1013/D18)</f>
        <v>240.9683737708547</v>
      </c>
      <c r="U22" s="1" t="s">
        <v>24</v>
      </c>
    </row>
    <row r="23" spans="2:21">
      <c r="B23" s="7" t="s">
        <v>36</v>
      </c>
      <c r="C23" s="1" t="s">
        <v>37</v>
      </c>
      <c r="D23" s="10"/>
      <c r="E23" s="1" t="s">
        <v>38</v>
      </c>
      <c r="F23" s="3"/>
      <c r="H23" s="3"/>
      <c r="J23" s="3"/>
      <c r="L23" s="3"/>
      <c r="N23" s="3"/>
    </row>
    <row r="24" spans="2:21">
      <c r="B24" s="7" t="s">
        <v>39</v>
      </c>
      <c r="C24" s="1" t="s">
        <v>40</v>
      </c>
      <c r="D24" s="10"/>
      <c r="E24" s="1" t="s">
        <v>41</v>
      </c>
      <c r="F24" s="3"/>
      <c r="H24" s="3"/>
      <c r="J24" s="3"/>
      <c r="L24" s="3"/>
      <c r="N24" s="3"/>
    </row>
    <row r="25" spans="2:21">
      <c r="B25" s="7"/>
      <c r="C25" s="1" t="s">
        <v>119</v>
      </c>
      <c r="D25" s="1">
        <f>(C30/1000)*(D18*100)/(C31*(D19+273.15))</f>
        <v>0.89751084018165195</v>
      </c>
      <c r="E25" s="1" t="s">
        <v>120</v>
      </c>
      <c r="F25" s="3"/>
      <c r="H25" s="3"/>
      <c r="J25" s="3"/>
      <c r="L25" s="3"/>
      <c r="N25" s="3"/>
    </row>
    <row r="26" spans="2:21">
      <c r="B26" s="7"/>
      <c r="C26" s="1" t="s">
        <v>121</v>
      </c>
      <c r="D26" s="13">
        <f>(1-(D21/100))*C30+((D21/100)*C29)</f>
        <v>18.106000000000002</v>
      </c>
      <c r="E26" s="1" t="s">
        <v>44</v>
      </c>
      <c r="F26" s="3"/>
      <c r="H26" s="3"/>
      <c r="J26" s="3"/>
      <c r="L26" s="3"/>
      <c r="N26" s="3"/>
    </row>
    <row r="27" spans="2:21">
      <c r="B27" s="7"/>
      <c r="C27" s="1" t="s">
        <v>122</v>
      </c>
      <c r="D27" s="1">
        <f>(D26/1000)*(D18*100)/(C31*(D19+273.15))</f>
        <v>0.56113022349202313</v>
      </c>
      <c r="E27" s="1" t="s">
        <v>120</v>
      </c>
      <c r="F27" s="3"/>
      <c r="H27" s="3"/>
      <c r="J27" s="3"/>
      <c r="L27" s="3"/>
      <c r="N27" s="3"/>
    </row>
    <row r="28" spans="2:21" ht="13.8" thickBot="1">
      <c r="D28" s="10"/>
      <c r="F28" s="3"/>
      <c r="G28" s="1">
        <f>550/60</f>
        <v>9.1666666666666661</v>
      </c>
      <c r="H28" s="3">
        <f>2500/9.17</f>
        <v>272.62813522355509</v>
      </c>
      <c r="I28" s="1">
        <f>2500/100</f>
        <v>25</v>
      </c>
      <c r="J28" s="3"/>
      <c r="L28" s="3"/>
      <c r="N28" s="3"/>
    </row>
    <row r="29" spans="2:21" s="11" customFormat="1" ht="12" thickTop="1">
      <c r="B29" s="11" t="s">
        <v>43</v>
      </c>
      <c r="C29" s="11">
        <v>18.106000000000002</v>
      </c>
      <c r="D29" s="12" t="s">
        <v>44</v>
      </c>
    </row>
    <row r="30" spans="2:21">
      <c r="B30" s="1" t="s">
        <v>45</v>
      </c>
      <c r="C30" s="1">
        <v>28.96</v>
      </c>
      <c r="D30" s="13" t="s">
        <v>44</v>
      </c>
    </row>
    <row r="31" spans="2:21">
      <c r="B31" s="1" t="s">
        <v>123</v>
      </c>
      <c r="C31" s="1">
        <v>8.3140000000000001</v>
      </c>
      <c r="D31" s="13" t="s">
        <v>124</v>
      </c>
    </row>
    <row r="32" spans="2:21">
      <c r="B32" s="1" t="s">
        <v>46</v>
      </c>
      <c r="C32" s="1">
        <f>C31/C30</f>
        <v>0.28708563535911602</v>
      </c>
      <c r="D32" s="13" t="s">
        <v>47</v>
      </c>
    </row>
    <row r="33" spans="2:7">
      <c r="B33" s="1" t="s">
        <v>48</v>
      </c>
      <c r="C33" s="1">
        <f>C31/C29</f>
        <v>0.45918480061857941</v>
      </c>
      <c r="D33" s="13" t="s">
        <v>47</v>
      </c>
    </row>
    <row r="34" spans="2:7">
      <c r="C34" s="14" t="s">
        <v>61</v>
      </c>
    </row>
    <row r="37" spans="2:7">
      <c r="D37" s="10">
        <f>(D38)*9/5+32</f>
        <v>248</v>
      </c>
      <c r="E37" s="1" t="s">
        <v>49</v>
      </c>
      <c r="F37" s="1">
        <f>(F38-32)*5/9</f>
        <v>107.22222222222223</v>
      </c>
      <c r="G37" s="1" t="s">
        <v>11</v>
      </c>
    </row>
    <row r="38" spans="2:7">
      <c r="D38" s="1">
        <v>120</v>
      </c>
      <c r="E38" s="1" t="s">
        <v>50</v>
      </c>
      <c r="F38" s="1">
        <v>225</v>
      </c>
      <c r="G38" s="1" t="s">
        <v>51</v>
      </c>
    </row>
    <row r="39" spans="2:7">
      <c r="D39" s="1"/>
    </row>
    <row r="40" spans="2:7">
      <c r="D40" s="1"/>
    </row>
    <row r="41" spans="2:7">
      <c r="D41" s="1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"/>
  <sheetViews>
    <sheetView workbookViewId="0">
      <selection activeCell="A4" sqref="A4"/>
    </sheetView>
  </sheetViews>
  <sheetFormatPr defaultColWidth="9.109375" defaultRowHeight="13.2"/>
  <cols>
    <col min="1" max="3" width="27.5546875" style="15" customWidth="1"/>
    <col min="4" max="4" width="29.33203125" style="15" customWidth="1"/>
    <col min="5" max="5" width="20.6640625" style="15" customWidth="1"/>
    <col min="6" max="6" width="21.6640625" style="15" customWidth="1"/>
    <col min="7" max="7" width="16.5546875" style="15" customWidth="1"/>
    <col min="8" max="8" width="19.5546875" style="15" customWidth="1"/>
    <col min="9" max="9" width="22.33203125" style="15" customWidth="1"/>
    <col min="10" max="17" width="27.33203125" style="15" customWidth="1"/>
    <col min="18" max="18" width="79.5546875" style="15" customWidth="1"/>
    <col min="19" max="19" width="9.109375" style="15"/>
    <col min="20" max="20" width="13.109375" style="15" bestFit="1" customWidth="1"/>
    <col min="21" max="16384" width="9.109375" style="15"/>
  </cols>
  <sheetData>
    <row r="1" spans="1:20">
      <c r="A1" s="15" t="s">
        <v>53</v>
      </c>
      <c r="B1" s="15" t="s">
        <v>57</v>
      </c>
      <c r="C1" s="17" t="s">
        <v>97</v>
      </c>
      <c r="D1" s="34" t="s">
        <v>154</v>
      </c>
      <c r="E1" s="34" t="s">
        <v>155</v>
      </c>
      <c r="F1" s="34" t="s">
        <v>156</v>
      </c>
      <c r="G1" s="15" t="s">
        <v>58</v>
      </c>
      <c r="H1" s="34" t="s">
        <v>157</v>
      </c>
      <c r="I1" s="34" t="s">
        <v>158</v>
      </c>
      <c r="J1" s="34" t="s">
        <v>159</v>
      </c>
      <c r="K1" s="17" t="s">
        <v>65</v>
      </c>
      <c r="L1" s="17" t="s">
        <v>66</v>
      </c>
      <c r="M1" s="17" t="s">
        <v>67</v>
      </c>
      <c r="N1" s="17" t="s">
        <v>71</v>
      </c>
      <c r="O1" s="17" t="s">
        <v>62</v>
      </c>
      <c r="P1" s="17" t="s">
        <v>72</v>
      </c>
      <c r="Q1" s="17"/>
      <c r="R1" s="17" t="s">
        <v>63</v>
      </c>
    </row>
    <row r="2" spans="1:20">
      <c r="A2" s="15">
        <v>8.5</v>
      </c>
      <c r="B2" s="15">
        <v>89</v>
      </c>
      <c r="C2" s="34">
        <v>1013</v>
      </c>
      <c r="D2" s="15">
        <f>A2/0.12452*273/(273+B2)*C2/1013</f>
        <v>51.479449040115149</v>
      </c>
      <c r="E2" s="15">
        <f>(1-(0.0001*(SQRT((0.1*B2)+1)+4)))*461.51*(B2+273.15)*D2*0.00001</f>
        <v>85.979124634720023</v>
      </c>
      <c r="F2" s="15">
        <f>6.1078*EXP(17.08085*B2/(234.175+B2))</f>
        <v>674.18607557924838</v>
      </c>
      <c r="G2" s="15">
        <f>E2/F2</f>
        <v>0.12753025870617149</v>
      </c>
      <c r="H2" s="15">
        <f>(234.175*LN(E2/6.1078))/(17.08085-LN(E2/6.1078))</f>
        <v>42.897705097380999</v>
      </c>
      <c r="I2" s="15">
        <f>100*G2</f>
        <v>12.753025870617149</v>
      </c>
      <c r="J2" s="15">
        <f>B2*ATAN(0.151977*(I2+8.313659)^0.5)+ATAN(B2+I2)-ATAN(I2-1.676331)+0.00391838*(I2^1.5)*ATAN(0.023101*I2)-4.686035</f>
        <v>49.653460689887993</v>
      </c>
      <c r="K2" s="15">
        <f>1.5996*10^8</f>
        <v>159960000</v>
      </c>
      <c r="L2" s="15">
        <f>0.000662</f>
        <v>6.6200000000000005E-4</v>
      </c>
      <c r="M2" s="15">
        <v>1013</v>
      </c>
      <c r="N2" s="15">
        <f t="shared" ref="N2:N8" si="0">((O2*L2*M2)-(L2*B2*M2)-E2)*EXP(3999.91/(O2+234.175))</f>
        <v>-28261562.277909447</v>
      </c>
      <c r="O2" s="15">
        <v>82.025048336810272</v>
      </c>
      <c r="P2" s="16">
        <f t="shared" ref="P2:P8" si="1">K2+N2</f>
        <v>131698437.72209056</v>
      </c>
      <c r="Q2" s="16"/>
      <c r="R2" s="17" t="s">
        <v>73</v>
      </c>
    </row>
    <row r="3" spans="1:20" ht="12" customHeight="1">
      <c r="A3" s="15">
        <v>7.9</v>
      </c>
      <c r="B3" s="15">
        <v>85</v>
      </c>
      <c r="C3" s="15">
        <v>1013</v>
      </c>
      <c r="D3" s="15">
        <f>A3/0.12452*273/(273+B3)*C3/1013</f>
        <v>48.380193350286326</v>
      </c>
      <c r="E3" s="15">
        <f>(1-(0.0001*(SQRT((0.1*B3)+1)+4)))*461.51*(B3+273.15)*D3*0.00001</f>
        <v>79.910893314363932</v>
      </c>
      <c r="F3" s="15">
        <f>6.1078*EXP(17.08085*B3/(234.175+B3))</f>
        <v>577.3189414307833</v>
      </c>
      <c r="G3" s="15">
        <f>E3/F3</f>
        <v>0.13841723799381822</v>
      </c>
      <c r="H3" s="15">
        <f>(234.175*LN(E3/6.1078))/(17.08085-LN(E3/6.1078))</f>
        <v>41.500027984212188</v>
      </c>
      <c r="I3" s="15">
        <f>100*G3</f>
        <v>13.841723799381821</v>
      </c>
      <c r="J3" s="15">
        <f>B3*ATAN(0.151977*(I3+8.313659)^0.5)+ATAN(B3+I3)-ATAN(I3-1.676331)+0.00391838*(I3^1.5)*ATAN(0.023101*I3)-4.686035</f>
        <v>48.229291320096166</v>
      </c>
      <c r="K3" s="15">
        <f t="shared" ref="K3:K8" si="2">1.5996*10^8</f>
        <v>159960000</v>
      </c>
      <c r="L3" s="15">
        <f>0.000662</f>
        <v>6.6200000000000005E-4</v>
      </c>
      <c r="M3" s="15">
        <v>1013</v>
      </c>
      <c r="N3" s="15">
        <f t="shared" si="0"/>
        <v>-25847788.313323859</v>
      </c>
      <c r="O3" s="15">
        <v>81.771413278400274</v>
      </c>
      <c r="P3" s="16">
        <f t="shared" si="1"/>
        <v>134112211.68667614</v>
      </c>
      <c r="Q3" s="16"/>
      <c r="R3" s="17">
        <f>((R16*R12*R13)-(R12*B2*R13)-E2)*EXP(3999.91/(R16+234.175))</f>
        <v>-3814801502.2583899</v>
      </c>
    </row>
    <row r="4" spans="1:20">
      <c r="A4" s="15">
        <v>15.86</v>
      </c>
      <c r="B4" s="15">
        <v>93.88</v>
      </c>
      <c r="C4" s="15">
        <v>1013</v>
      </c>
      <c r="D4" s="15">
        <f>A4/0.12452*273/(273+B4)*C4/1013</f>
        <v>94.776939522778378</v>
      </c>
      <c r="E4" s="15">
        <f>(1-(0.0001*(SQRT((0.1*B4)+1)+4)))*461.51*(B4+273.15)*D4*0.00001</f>
        <v>160.42481754168438</v>
      </c>
      <c r="F4" s="15">
        <f>6.1078*EXP(17.08085*B4/(234.175+B4))</f>
        <v>810.47423750103246</v>
      </c>
      <c r="G4" s="15">
        <f>E4/F4</f>
        <v>0.19793944103186872</v>
      </c>
      <c r="H4" s="15">
        <f>(234.175*LN(E4/6.1078))/(17.08085-LN(E4/6.1078))</f>
        <v>55.409190268039531</v>
      </c>
      <c r="I4" s="15">
        <f>100*G4</f>
        <v>19.793944103186874</v>
      </c>
      <c r="J4" s="15">
        <f>B4*ATAN(0.151977*(I4+8.313659)^0.5)+ATAN(B4+I4)-ATAN(I4-1.676331)+0.00391838*(I4^1.5)*ATAN(0.023101*I4)-4.686035</f>
        <v>59.180095116325333</v>
      </c>
      <c r="K4" s="15">
        <f t="shared" si="2"/>
        <v>159960000</v>
      </c>
      <c r="L4" s="15">
        <f>0.000662</f>
        <v>6.6200000000000005E-4</v>
      </c>
      <c r="M4" s="15">
        <v>1013</v>
      </c>
      <c r="N4" s="15">
        <f t="shared" si="0"/>
        <v>-159960000.00000021</v>
      </c>
      <c r="O4" s="15">
        <v>58.342147198060914</v>
      </c>
      <c r="P4" s="16">
        <f t="shared" si="1"/>
        <v>0</v>
      </c>
      <c r="Q4" s="16"/>
    </row>
    <row r="5" spans="1:20">
      <c r="A5" s="15">
        <v>10</v>
      </c>
      <c r="B5" s="15">
        <v>155</v>
      </c>
      <c r="C5" s="15">
        <v>1013</v>
      </c>
      <c r="D5" s="15">
        <f>A5/0.12452*273/(273+B5)*C5/1013</f>
        <v>51.224740386260805</v>
      </c>
      <c r="E5" s="15">
        <f>(1-(0.0001*(SQRT((0.1*B5)+1)+4)))*461.51*(B5+273.15)*D5*0.00001</f>
        <v>101.13618324673648</v>
      </c>
      <c r="F5" s="15">
        <f>6.1078*EXP(17.08085*B5/(234.175+B5))</f>
        <v>5499.9837299910187</v>
      </c>
      <c r="G5" s="15">
        <f>E5/F5</f>
        <v>1.8388451350364564E-2</v>
      </c>
      <c r="H5" s="15">
        <f>(234.175*LN(E5/6.1078))/(17.08085-LN(E5/6.1078))</f>
        <v>46.049353957432444</v>
      </c>
      <c r="I5" s="15">
        <f>100*G5</f>
        <v>1.8388451350364563</v>
      </c>
      <c r="J5" s="15">
        <f>B5*ATAN(0.151977*(I5+8.313659)^0.5)+ATAN(B5+I5)-ATAN(I5-1.676331)+0.00391838*(I5^1.5)*ATAN(0.023101*I5)-4.686035</f>
        <v>66.617072950214308</v>
      </c>
      <c r="K5" s="15">
        <f t="shared" si="2"/>
        <v>159960000</v>
      </c>
      <c r="L5" s="15">
        <f>0.000662</f>
        <v>6.6200000000000005E-4</v>
      </c>
      <c r="M5" s="15">
        <v>1013</v>
      </c>
      <c r="N5" s="15">
        <f t="shared" si="0"/>
        <v>-159960000.00000066</v>
      </c>
      <c r="O5" s="15">
        <v>56.294983176582939</v>
      </c>
      <c r="P5" s="16">
        <f t="shared" si="1"/>
        <v>-6.5565109252929688E-7</v>
      </c>
      <c r="Q5" s="16"/>
      <c r="R5" s="17" t="s">
        <v>74</v>
      </c>
    </row>
    <row r="6" spans="1:20">
      <c r="A6" s="15">
        <v>10</v>
      </c>
      <c r="B6" s="15">
        <v>155</v>
      </c>
      <c r="C6" s="15">
        <v>1013</v>
      </c>
      <c r="D6" s="15">
        <f>A6/0.12452*273/(273+B6)*C6/1013</f>
        <v>51.224740386260805</v>
      </c>
      <c r="E6" s="15">
        <f>(1-(0.0001*(SQRT((0.1*B6)+1)+4)))*461.51*(B6+273.15)*D6*0.00001</f>
        <v>101.13618324673648</v>
      </c>
      <c r="F6" s="15">
        <f>6.1078*EXP(17.08085*B6/(234.175+B6))</f>
        <v>5499.9837299910187</v>
      </c>
      <c r="G6" s="15">
        <f>E6/F6</f>
        <v>1.8388451350364564E-2</v>
      </c>
      <c r="H6" s="15">
        <f>(234.175*LN(E6/6.1078))/(17.08085-LN(E6/6.1078))</f>
        <v>46.049353957432444</v>
      </c>
      <c r="I6" s="15">
        <f>100*G6</f>
        <v>1.8388451350364563</v>
      </c>
      <c r="J6" s="15">
        <f>B6*ATAN(0.151977*(I6+8.313659)^0.5)+ATAN(B6+I6)-ATAN(I6-1.676331)+0.00391838*(I6^1.5)*ATAN(0.023101*I6)-4.686035</f>
        <v>66.617072950214308</v>
      </c>
      <c r="K6" s="15">
        <f t="shared" si="2"/>
        <v>159960000</v>
      </c>
      <c r="L6" s="15">
        <f>0.000662</f>
        <v>6.6200000000000005E-4</v>
      </c>
      <c r="M6" s="15">
        <v>1013</v>
      </c>
      <c r="N6" s="15">
        <f t="shared" si="0"/>
        <v>-159960000.00000805</v>
      </c>
      <c r="O6" s="15">
        <v>56.294983176582051</v>
      </c>
      <c r="P6" s="16">
        <f t="shared" si="1"/>
        <v>-8.0466270446777344E-6</v>
      </c>
      <c r="R6" s="17" t="s">
        <v>64</v>
      </c>
    </row>
    <row r="7" spans="1:20">
      <c r="K7" s="15">
        <f t="shared" si="2"/>
        <v>159960000</v>
      </c>
      <c r="M7" s="15">
        <v>1013</v>
      </c>
      <c r="N7" s="15">
        <f t="shared" si="0"/>
        <v>0</v>
      </c>
      <c r="P7" s="16">
        <f t="shared" si="1"/>
        <v>159960000</v>
      </c>
      <c r="R7" s="17" t="s">
        <v>75</v>
      </c>
    </row>
    <row r="8" spans="1:20">
      <c r="K8" s="15">
        <f t="shared" si="2"/>
        <v>159960000</v>
      </c>
      <c r="M8" s="15">
        <v>1013</v>
      </c>
      <c r="N8" s="15">
        <f t="shared" si="0"/>
        <v>0</v>
      </c>
      <c r="P8" s="16">
        <f t="shared" si="1"/>
        <v>159960000</v>
      </c>
      <c r="R8" s="17" t="s">
        <v>76</v>
      </c>
    </row>
    <row r="9" spans="1:20">
      <c r="R9" s="17" t="s">
        <v>77</v>
      </c>
    </row>
    <row r="11" spans="1:20">
      <c r="Q11" s="17" t="s">
        <v>65</v>
      </c>
      <c r="R11" s="15">
        <f>1.5996*10^8</f>
        <v>159960000</v>
      </c>
      <c r="S11" s="17" t="s">
        <v>70</v>
      </c>
      <c r="T11" s="15">
        <f>N4+R11</f>
        <v>0</v>
      </c>
    </row>
    <row r="12" spans="1:20">
      <c r="Q12" s="17" t="s">
        <v>66</v>
      </c>
      <c r="R12" s="15">
        <f>0.000662</f>
        <v>6.6200000000000005E-4</v>
      </c>
    </row>
    <row r="13" spans="1:20">
      <c r="Q13" s="17" t="s">
        <v>67</v>
      </c>
      <c r="R13" s="15">
        <f>1013</f>
        <v>1013</v>
      </c>
    </row>
    <row r="14" spans="1:20">
      <c r="Q14" s="17" t="s">
        <v>68</v>
      </c>
      <c r="R14" s="15">
        <f>B3</f>
        <v>85</v>
      </c>
    </row>
    <row r="15" spans="1:20">
      <c r="Q15" s="17" t="s">
        <v>69</v>
      </c>
    </row>
    <row r="16" spans="1:20">
      <c r="Q16" s="17" t="s">
        <v>62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6"/>
  <sheetViews>
    <sheetView tabSelected="1" zoomScale="106" zoomScaleNormal="106" workbookViewId="0">
      <selection activeCell="D2" sqref="D2"/>
    </sheetView>
  </sheetViews>
  <sheetFormatPr defaultColWidth="9.109375" defaultRowHeight="13.2"/>
  <cols>
    <col min="1" max="3" width="27.5546875" style="15" customWidth="1"/>
    <col min="4" max="5" width="29.33203125" style="15" customWidth="1"/>
    <col min="6" max="6" width="20.6640625" style="15" customWidth="1"/>
    <col min="7" max="7" width="21.6640625" style="15" customWidth="1"/>
    <col min="8" max="8" width="16.5546875" style="15" customWidth="1"/>
    <col min="9" max="9" width="19.5546875" style="15" customWidth="1"/>
    <col min="10" max="10" width="36.6640625" style="15" customWidth="1"/>
    <col min="11" max="11" width="14.6640625" style="15" customWidth="1"/>
    <col min="12" max="12" width="14.109375" style="15" customWidth="1"/>
    <col min="13" max="13" width="13.109375" style="15" customWidth="1"/>
    <col min="14" max="14" width="14.5546875" style="15" customWidth="1"/>
    <col min="15" max="15" width="15.5546875" style="15" customWidth="1"/>
    <col min="16" max="16" width="12.44140625" style="15" customWidth="1"/>
    <col min="17" max="17" width="15.5546875" style="15" customWidth="1"/>
    <col min="18" max="18" width="16.77734375" style="15" customWidth="1"/>
    <col min="19" max="19" width="14" style="15" customWidth="1"/>
    <col min="20" max="20" width="12" style="15" customWidth="1"/>
    <col min="21" max="21" width="12.44140625" style="15" customWidth="1"/>
    <col min="22" max="22" width="27.33203125" style="15" customWidth="1"/>
    <col min="23" max="23" width="17.77734375" style="15" customWidth="1"/>
    <col min="24" max="30" width="27.33203125" style="15" customWidth="1"/>
    <col min="31" max="31" width="79.5546875" style="15" customWidth="1"/>
    <col min="32" max="32" width="9.109375" style="15"/>
    <col min="33" max="33" width="13.109375" style="15" bestFit="1" customWidth="1"/>
    <col min="34" max="16384" width="9.109375" style="15"/>
  </cols>
  <sheetData>
    <row r="1" spans="1:31">
      <c r="A1" s="15" t="s">
        <v>53</v>
      </c>
      <c r="B1" s="15" t="s">
        <v>57</v>
      </c>
      <c r="C1" s="17" t="s">
        <v>97</v>
      </c>
      <c r="D1" s="34" t="s">
        <v>154</v>
      </c>
      <c r="E1" s="34" t="s">
        <v>160</v>
      </c>
      <c r="F1" s="34" t="s">
        <v>155</v>
      </c>
      <c r="G1" s="34" t="s">
        <v>156</v>
      </c>
      <c r="H1" s="15" t="s">
        <v>58</v>
      </c>
      <c r="I1" s="34" t="s">
        <v>157</v>
      </c>
      <c r="J1" s="34" t="s">
        <v>158</v>
      </c>
      <c r="K1" s="17" t="s">
        <v>106</v>
      </c>
      <c r="L1" s="17" t="s">
        <v>107</v>
      </c>
      <c r="M1" s="17" t="s">
        <v>108</v>
      </c>
      <c r="N1" s="17" t="s">
        <v>109</v>
      </c>
      <c r="O1" s="17" t="s">
        <v>110</v>
      </c>
      <c r="P1" s="17" t="s">
        <v>111</v>
      </c>
      <c r="Q1" s="17" t="s">
        <v>112</v>
      </c>
      <c r="R1" s="17" t="s">
        <v>113</v>
      </c>
      <c r="S1" s="17" t="s">
        <v>114</v>
      </c>
      <c r="T1" s="17" t="s">
        <v>115</v>
      </c>
      <c r="U1" s="17" t="s">
        <v>116</v>
      </c>
      <c r="V1" s="34" t="s">
        <v>159</v>
      </c>
      <c r="W1" s="17" t="s">
        <v>117</v>
      </c>
      <c r="X1" s="17" t="s">
        <v>65</v>
      </c>
      <c r="Y1" s="17" t="s">
        <v>66</v>
      </c>
      <c r="Z1" s="17" t="s">
        <v>67</v>
      </c>
      <c r="AA1" s="17" t="s">
        <v>71</v>
      </c>
      <c r="AB1" s="17" t="s">
        <v>62</v>
      </c>
      <c r="AC1" s="17" t="s">
        <v>72</v>
      </c>
      <c r="AD1" s="17"/>
      <c r="AE1" s="17" t="s">
        <v>63</v>
      </c>
    </row>
    <row r="2" spans="1:31">
      <c r="A2" s="18">
        <v>59.3</v>
      </c>
      <c r="B2">
        <v>110.3</v>
      </c>
      <c r="C2">
        <v>1013</v>
      </c>
      <c r="D2" s="15">
        <f>A2/0.12452*273/(273+B2)*C2/1013</f>
        <v>339.18716433588668</v>
      </c>
      <c r="E2" s="15">
        <f>D2*((B2+273.13)/273.13)*(1013/C2)</f>
        <v>476.16349145575015</v>
      </c>
      <c r="F2" s="15">
        <f>(1-(0.0001*(SQRT((0.1*B2)+1)+4)))*461.51*(B2+273.15)*D2*0.00001</f>
        <v>599.79770000358985</v>
      </c>
      <c r="G2" s="15">
        <f>6.1078*EXP(17.08085*B2/(234.175+B2))</f>
        <v>1449.263005533159</v>
      </c>
      <c r="H2" s="15">
        <f>F2/G2</f>
        <v>0.41386394168181678</v>
      </c>
      <c r="I2" s="15">
        <f>(234.175*LN(F2/6.1078))/(17.08085-LN(F2/6.1078))</f>
        <v>85.975818607806346</v>
      </c>
      <c r="J2" s="15">
        <f>100*H2</f>
        <v>41.386394168181681</v>
      </c>
      <c r="K2" s="17">
        <f>LN(E2*0.2064)/(17.08085-LN(E2*0.2064))</f>
        <v>0.36723058864734553</v>
      </c>
      <c r="L2" s="15">
        <f>E2*0.07841/(((C2/10)-0.126066*E2)*E9)</f>
        <v>0.85342713803133441</v>
      </c>
      <c r="M2" s="15">
        <f>E2*0.126066/(L2*(518.7936*K2-2446.46))</f>
        <v>-3.1178805495895998E-2</v>
      </c>
      <c r="N2" s="15">
        <f>0.04455/(POWER(1+K2,2))*EXP(17.08085*K2/(1+K2))</f>
        <v>2.342232285313691</v>
      </c>
      <c r="O2" s="15">
        <f>(-M2*B2+N2*234.175*K2)/(N2-M2)</f>
        <v>86.315494686577992</v>
      </c>
      <c r="P2" s="15">
        <f>N2*(O2-234.175*K2)+E2*0.126066</f>
        <v>60.775834939943117</v>
      </c>
      <c r="Q2" s="15">
        <f>LN(P2/0.61078)/(17.08085-LN(P2/0.61078))</f>
        <v>0.36858774626615309</v>
      </c>
      <c r="R2" s="15">
        <f>P2/((518.7913-2446.46)*(P2*0.62198/(E2-P2)*E9))</f>
        <v>-0.32684278777497539</v>
      </c>
      <c r="S2" s="15">
        <f>0.04455/POWER(1+Q2,2)*EXP(17.08085*Q2/(1+Q2))</f>
        <v>2.3667290432666603</v>
      </c>
      <c r="T2" s="15">
        <f>(-R2*O2+S2*Q2*234.175)/(S2-R2)</f>
        <v>86.314212544365347</v>
      </c>
      <c r="U2" s="15">
        <f>P2+S2*(T2-Q2*234.175)</f>
        <v>60.776253998878175</v>
      </c>
      <c r="V2" s="15">
        <f>LN(U2/0.61078)/(17.08085-LN(U2/0.61078))*234.175</f>
        <v>86.314212541386496</v>
      </c>
      <c r="W2" s="15">
        <f>621.98*F2/(C2-F2)</f>
        <v>902.85599439178804</v>
      </c>
      <c r="X2" s="15">
        <f>1.5996*10^8</f>
        <v>159960000</v>
      </c>
      <c r="Y2" s="15">
        <f>0.000662</f>
        <v>6.6200000000000005E-4</v>
      </c>
      <c r="Z2" s="15">
        <v>1013</v>
      </c>
      <c r="AA2" s="15">
        <f>((AB2*Y2*C2)-(Y2*B2*C2)-F2)*EXP(3999.91/(AB2+234.175))</f>
        <v>-128098967.47635037</v>
      </c>
      <c r="AB2" s="15">
        <v>92.300385042121022</v>
      </c>
      <c r="AC2" s="17">
        <f>X2+AA2</f>
        <v>31861032.523649633</v>
      </c>
      <c r="AD2" s="17"/>
      <c r="AE2" s="17" t="s">
        <v>73</v>
      </c>
    </row>
    <row r="3" spans="1:31" ht="12" customHeight="1">
      <c r="A3">
        <v>85</v>
      </c>
      <c r="B3">
        <v>89</v>
      </c>
      <c r="C3">
        <v>803.21</v>
      </c>
      <c r="D3" s="15">
        <f>A3/0.12452*273/(273+B3)*C3/1013</f>
        <v>408.18172027157834</v>
      </c>
      <c r="E3" s="15">
        <f>D3*((B3+273.13)/273.13)*(1013/C3)</f>
        <v>682.54138618595175</v>
      </c>
      <c r="F3" s="15">
        <f>(1-(0.0001*(SQRT((0.1*B3)+1)+4)))*461.51*(B3+273.15)*D3*0.00001</f>
        <v>681.73043137071522</v>
      </c>
      <c r="G3" s="15">
        <f>6.1078*EXP(17.08085*B3/(234.175+B3))</f>
        <v>674.18607557924838</v>
      </c>
      <c r="H3" s="15">
        <f>F3/G3</f>
        <v>1.0111903168349849</v>
      </c>
      <c r="I3" s="15">
        <f>(234.175*LN(F3/6.1078))/(17.08085-LN(F3/6.1078))</f>
        <v>89.290830433872259</v>
      </c>
      <c r="J3" s="15">
        <f>100*H3</f>
        <v>101.11903168349849</v>
      </c>
      <c r="K3" s="17">
        <f>LN(E3*0.2064)/(17.08085-LN(E3*0.2064))</f>
        <v>0.40780497414169498</v>
      </c>
      <c r="L3" s="15">
        <f>E3*0.07841/(((C3/10)-0.126066*E3)*E10)</f>
        <v>-8.8201312100612483</v>
      </c>
      <c r="M3" s="15">
        <f>E3*0.126066/(L3*(518.7936*K3-2446.46))</f>
        <v>4.3651091378400656E-3</v>
      </c>
      <c r="N3" s="15">
        <f>0.04455/(POWER(1+K3,2))*EXP(17.08085*K3/(1+K3))</f>
        <v>3.1666597412541848</v>
      </c>
      <c r="O3" s="15">
        <f>(-M3*B3+N3*234.175*K3)/(N3-M3)</f>
        <v>95.506699034429701</v>
      </c>
      <c r="P3" s="15">
        <f>N3*(O3-234.175*K3)+E3*0.126066</f>
        <v>86.073664842330544</v>
      </c>
      <c r="Q3" s="15">
        <f>LN(P3/0.61078)/(17.08085-LN(P3/0.61078))</f>
        <v>0.40784419717736969</v>
      </c>
      <c r="R3" s="15">
        <f>P3/((518.7913-2446.46)*(P3*0.62198/(E3-P3)*E10))</f>
        <v>-0.46932346159958099</v>
      </c>
      <c r="S3" s="15">
        <f>0.04455/POWER(1+Q3,2)*EXP(17.08085*Q3/(1+Q3))</f>
        <v>3.1675538383970734</v>
      </c>
      <c r="T3" s="15">
        <f>(-R3*O3+S3*Q3*234.175)/(S3-R3)</f>
        <v>95.506887020835734</v>
      </c>
      <c r="U3" s="15">
        <f>P3+S3*(T3-Q3*234.175)</f>
        <v>86.073576615899754</v>
      </c>
      <c r="V3" s="15">
        <f>LN(U3/0.61078)/(17.08085-LN(U3/0.61078))*234.175</f>
        <v>95.506887021211767</v>
      </c>
      <c r="W3" s="15">
        <f t="shared" ref="W3:W16" si="0">621.98*F3/(C3-F3)</f>
        <v>3490.4856716929376</v>
      </c>
      <c r="X3" s="15">
        <f>1.5996*10^8</f>
        <v>159960000</v>
      </c>
      <c r="Y3" s="15">
        <f>0.000662</f>
        <v>6.6200000000000005E-4</v>
      </c>
      <c r="Z3" s="15">
        <v>1013</v>
      </c>
      <c r="AA3" s="15">
        <f>((AB3*Y3*C3)-(Y3*B3*C3)-F3)*EXP(3999.91/(AB3+234.175))</f>
        <v>-335177343.54638952</v>
      </c>
      <c r="AB3" s="15">
        <v>71.351379803265843</v>
      </c>
      <c r="AC3" s="17">
        <f>X3+AA3</f>
        <v>-175217343.54638952</v>
      </c>
      <c r="AD3" s="17"/>
      <c r="AE3" s="17">
        <f>((Z16*Z12*Z13)-(Z12*B2*Z13)-F2)*EXP(3999.91/(Z16+234.175))</f>
        <v>-17645392216.346226</v>
      </c>
    </row>
    <row r="4" spans="1:31">
      <c r="A4">
        <v>29.878061294555664</v>
      </c>
      <c r="B4">
        <v>96.907737731933594</v>
      </c>
      <c r="C4">
        <v>1070.3809814453125</v>
      </c>
      <c r="D4" s="15">
        <f>A4/0.12452*273/(273+B4)*C4/1013</f>
        <v>187.11623548800873</v>
      </c>
      <c r="E4" s="15">
        <f>D4*((B4+273.13)/273.13)*(1013/C4)</f>
        <v>239.91596318615112</v>
      </c>
      <c r="F4" s="15">
        <f>(1-(0.0001*(SQRT((0.1*B4)+1)+4)))*461.51*(B4+273.15)*D4*0.00001</f>
        <v>319.33479631218978</v>
      </c>
      <c r="G4" s="15">
        <f>6.1078*EXP(17.08085*B4/(234.175+B4))</f>
        <v>906.07507970592565</v>
      </c>
      <c r="H4" s="15">
        <f>F4/G4</f>
        <v>0.35243745630420892</v>
      </c>
      <c r="I4" s="15">
        <f>(234.175*LN(F4/6.1078))/(17.08085-LN(F4/6.1078))</f>
        <v>70.59901966786154</v>
      </c>
      <c r="J4" s="15">
        <f>100*H4</f>
        <v>35.243745630420889</v>
      </c>
      <c r="K4" s="17">
        <f>LN(E4*0.2064)/(17.08085-LN(E4*0.2064))</f>
        <v>0.29611483130257676</v>
      </c>
      <c r="L4" s="15">
        <f>E4*0.07841/(((C4/10)-0.126066*E4)*E11)</f>
        <v>0.23110212295795277</v>
      </c>
      <c r="M4" s="15">
        <f>E4*0.126066/(L4*(518.7936*K4-2446.46))</f>
        <v>-5.7079466263931629E-2</v>
      </c>
      <c r="N4" s="15">
        <f>0.04455/(POWER(1+K4,2))*EXP(17.08085*K4/(1+K4))</f>
        <v>1.3131961060229667</v>
      </c>
      <c r="O4" s="15">
        <f>(-M4*B4+N4*234.175*K4)/(N4-M4)</f>
        <v>70.490925477921536</v>
      </c>
      <c r="P4" s="15">
        <f>N4*(O4-234.175*K4)+E4*0.126066</f>
        <v>31.753103358878821</v>
      </c>
      <c r="Q4" s="15">
        <f>LN(P4/0.61078)/(17.08085-LN(P4/0.61078))</f>
        <v>0.30091825852771026</v>
      </c>
      <c r="R4" s="15">
        <f>P4/((518.7913-2446.46)*(P4*0.62198/(E4-P4)*E11))</f>
        <v>-0.16379044574370508</v>
      </c>
      <c r="S4" s="15">
        <f>0.04455/POWER(1+Q4,2)*EXP(17.08085*Q4/(1+Q4))</f>
        <v>1.368513416891985</v>
      </c>
      <c r="T4" s="15">
        <f>(-R4*O4+S4*Q4*234.175)/(S4-R4)</f>
        <v>70.470033630254278</v>
      </c>
      <c r="U4" s="15">
        <f>P4+S4*(T4-Q4*234.175)</f>
        <v>31.756525243920635</v>
      </c>
      <c r="V4" s="15">
        <f>LN(U4/0.61078)/(17.08085-LN(U4/0.61078))*234.175</f>
        <v>70.470033481228029</v>
      </c>
      <c r="W4" s="15">
        <f t="shared" si="0"/>
        <v>264.45758002891728</v>
      </c>
      <c r="X4" s="15">
        <f>1.5996*10^8</f>
        <v>159960000</v>
      </c>
      <c r="Y4" s="15">
        <f>0.000662</f>
        <v>6.6200000000000005E-4</v>
      </c>
      <c r="Z4" s="15">
        <v>1013</v>
      </c>
      <c r="AA4" s="15">
        <f>((AB4*Y4*C4)-(Y4*B4*C4)-F4)*EXP(3999.91/(AB4+234.175))</f>
        <v>-159959909.77875701</v>
      </c>
      <c r="AB4" s="15">
        <v>71.860067918441558</v>
      </c>
      <c r="AC4" s="17">
        <f>X4+AA4</f>
        <v>90.221242994070053</v>
      </c>
      <c r="AD4" s="17"/>
    </row>
    <row r="5" spans="1:31">
      <c r="A5">
        <v>29.970724105834961</v>
      </c>
      <c r="B5">
        <v>97.324836730957031</v>
      </c>
      <c r="C5">
        <v>1065.9112548828125</v>
      </c>
      <c r="D5" s="15">
        <f>A5/0.12452*273/(273+B5)*C5/1013</f>
        <v>186.70224208441141</v>
      </c>
      <c r="E5" s="15">
        <f>D5*((B5+273.13)/273.13)*(1013/C5)</f>
        <v>240.65993523368974</v>
      </c>
      <c r="F5" s="15">
        <f>(1-(0.0001*(SQRT((0.1*B5)+1)+4)))*461.51*(B5+273.15)*D5*0.00001</f>
        <v>318.98719871306611</v>
      </c>
      <c r="G5" s="15">
        <f>6.1078*EXP(17.08085*B5/(234.175+B5))</f>
        <v>919.95345091274783</v>
      </c>
      <c r="H5" s="15">
        <f>F5/G5</f>
        <v>0.34674276007832505</v>
      </c>
      <c r="I5" s="15">
        <f>(234.175*LN(F5/6.1078))/(17.08085-LN(F5/6.1078))</f>
        <v>70.573730366166899</v>
      </c>
      <c r="J5" s="15">
        <f>100*H5</f>
        <v>34.674276007832503</v>
      </c>
      <c r="K5" s="17">
        <f>LN(E5*0.2064)/(17.08085-LN(E5*0.2064))</f>
        <v>0.29641941349039946</v>
      </c>
      <c r="L5" s="15">
        <f>E5*0.07841/(((C5/10)-0.126066*E5)*E12)</f>
        <v>0.23346276876230723</v>
      </c>
      <c r="M5" s="15">
        <f>E5*0.126066/(L5*(518.7936*K5-2446.46))</f>
        <v>-5.6681428656602285E-2</v>
      </c>
      <c r="N5" s="15">
        <f>0.04455/(POWER(1+K5,2))*EXP(17.08085*K5/(1+K5))</f>
        <v>1.3166493987134964</v>
      </c>
      <c r="O5" s="15">
        <f>(-M5*B5+N5*234.175*K5)/(N5-M5)</f>
        <v>70.565978342499079</v>
      </c>
      <c r="P5" s="15">
        <f>N5*(O5-234.175*K5)+E5*0.126066</f>
        <v>31.855765717847845</v>
      </c>
      <c r="Q5" s="15">
        <f>LN(P5/0.61078)/(17.08085-LN(P5/0.61078))</f>
        <v>0.30123816369874412</v>
      </c>
      <c r="R5" s="15">
        <f>P5/((518.7913-2446.46)*(P5*0.62198/(E5-P5)*E12))</f>
        <v>-0.164295052568562</v>
      </c>
      <c r="S5" s="15">
        <f>0.04455/POWER(1+Q5,2)*EXP(17.08085*Q5/(1+Q5))</f>
        <v>1.3722630362667998</v>
      </c>
      <c r="T5" s="15">
        <f>(-R5*O5+S5*Q5*234.175)/(S5-R5)</f>
        <v>70.544963052881627</v>
      </c>
      <c r="U5" s="15">
        <f>P5+S5*(T5-Q5*234.175)</f>
        <v>31.859218425960279</v>
      </c>
      <c r="V5" s="15">
        <f>LN(U5/0.61078)/(17.08085-LN(U5/0.61078))*234.175</f>
        <v>70.544962902267613</v>
      </c>
      <c r="W5" s="15">
        <f t="shared" si="0"/>
        <v>265.62761798431558</v>
      </c>
      <c r="X5" s="15">
        <f>1.5996*10^8</f>
        <v>159960000</v>
      </c>
      <c r="Y5" s="15">
        <f>0.000662</f>
        <v>6.6200000000000005E-4</v>
      </c>
      <c r="Z5" s="15">
        <v>1013</v>
      </c>
      <c r="AA5" s="15">
        <f>((AB5*Y5*C5)-(Y5*B5*C5)-F5)*EXP(3999.91/(AB5+234.175))</f>
        <v>-159959937.48117176</v>
      </c>
      <c r="AB5" s="15">
        <v>71.851627130949325</v>
      </c>
      <c r="AC5" s="17">
        <f>X5+AA5</f>
        <v>62.518828243017197</v>
      </c>
      <c r="AD5" s="17"/>
      <c r="AE5" s="17" t="s">
        <v>74</v>
      </c>
    </row>
    <row r="6" spans="1:31">
      <c r="A6">
        <v>33.13348388671875</v>
      </c>
      <c r="B6">
        <v>97.203445434570313</v>
      </c>
      <c r="C6">
        <v>1023.9644165039063</v>
      </c>
      <c r="D6" s="15">
        <f>A6/0.12452*273/(273+B6)*C6/1013</f>
        <v>198.34698404585424</v>
      </c>
      <c r="E6" s="15">
        <f>D6*((B6+273.13)/273.13)*(1013/C6)</f>
        <v>266.05640142788758</v>
      </c>
      <c r="F6" s="15">
        <f>(1-(0.0001*(SQRT((0.1*B6)+1)+4)))*461.51*(B6+273.15)*D6*0.00001</f>
        <v>338.77166381554548</v>
      </c>
      <c r="G6" s="15">
        <f>6.1078*EXP(17.08085*B6/(234.175+B6))</f>
        <v>915.8961578290955</v>
      </c>
      <c r="H6" s="15">
        <f>F6/G6</f>
        <v>0.36987999231104934</v>
      </c>
      <c r="I6" s="15">
        <f>(234.175*LN(F6/6.1078))/(17.08085-LN(F6/6.1078))</f>
        <v>71.977345726388492</v>
      </c>
      <c r="J6" s="15">
        <f>100*H6</f>
        <v>36.987999231104936</v>
      </c>
      <c r="K6" s="17">
        <f>LN(E6*0.2064)/(17.08085-LN(E6*0.2064))</f>
        <v>0.30636667564600256</v>
      </c>
      <c r="L6" s="15">
        <f>E6*0.07841/(((C6/10)-0.126066*E6)*E13)</f>
        <v>0.2858241550261868</v>
      </c>
      <c r="M6" s="15">
        <f>E6*0.126066/(L6*(518.7936*K6-2446.46))</f>
        <v>-5.1298900983947168E-2</v>
      </c>
      <c r="N6" s="15">
        <f>0.04455/(POWER(1+K6,2))*EXP(17.08085*K6/(1+K6))</f>
        <v>1.4335106614745667</v>
      </c>
      <c r="O6" s="15">
        <f>(-M6*B6+N6*234.175*K6)/(N6-M6)</f>
        <v>72.623038510674988</v>
      </c>
      <c r="P6" s="15">
        <f>N6*(O6-234.175*K6)+E6*0.126066</f>
        <v>34.801614163342116</v>
      </c>
      <c r="Q6" s="15">
        <f>LN(P6/0.61078)/(17.08085-LN(P6/0.61078))</f>
        <v>0.3100652091601363</v>
      </c>
      <c r="R6" s="15">
        <f>P6/((518.7913-2446.46)*(P6*0.62198/(E6-P6)*E13))</f>
        <v>-0.18196005146093372</v>
      </c>
      <c r="S6" s="15">
        <f>0.04455/POWER(1+Q6,2)*EXP(17.08085*Q6/(1+Q6))</f>
        <v>1.4790282241933141</v>
      </c>
      <c r="T6" s="15">
        <f>(-R6*O6+S6*Q6*234.175)/(S6-R6)</f>
        <v>72.611001259139499</v>
      </c>
      <c r="U6" s="15">
        <f>P6+S6*(T6-Q6*234.175)</f>
        <v>34.803804462250952</v>
      </c>
      <c r="V6" s="15">
        <f>LN(U6/0.61078)/(17.08085-LN(U6/0.61078))*234.175</f>
        <v>72.611001199061434</v>
      </c>
      <c r="W6" s="15">
        <f t="shared" si="0"/>
        <v>307.51813797398364</v>
      </c>
      <c r="X6" s="15">
        <f>1.5996*10^8</f>
        <v>159960000</v>
      </c>
      <c r="Y6" s="15">
        <f>0.000662</f>
        <v>6.6200000000000005E-4</v>
      </c>
      <c r="Z6" s="15">
        <v>1013</v>
      </c>
      <c r="AA6" s="15">
        <f>((AB6*Y6*C6)-(Y6*B6*C6)-F6)*EXP(3999.91/(AB6+234.175))</f>
        <v>-350363016.37554538</v>
      </c>
      <c r="AB6" s="15">
        <v>56.294983176583052</v>
      </c>
      <c r="AC6" s="17">
        <f>X6+AA6</f>
        <v>-190403016.37554538</v>
      </c>
      <c r="AE6" s="17" t="s">
        <v>64</v>
      </c>
    </row>
    <row r="7" spans="1:31">
      <c r="W7" s="15" t="e">
        <f t="shared" si="0"/>
        <v>#DIV/0!</v>
      </c>
      <c r="X7" s="17"/>
      <c r="Z7" s="17" t="s">
        <v>75</v>
      </c>
    </row>
    <row r="8" spans="1:31">
      <c r="E8" s="17" t="s">
        <v>118</v>
      </c>
      <c r="W8" s="15" t="e">
        <f t="shared" si="0"/>
        <v>#DIV/0!</v>
      </c>
      <c r="X8" s="17"/>
      <c r="Z8" s="17" t="s">
        <v>76</v>
      </c>
    </row>
    <row r="9" spans="1:31">
      <c r="E9" s="15">
        <v>1.06</v>
      </c>
      <c r="W9" s="15" t="e">
        <f t="shared" si="0"/>
        <v>#DIV/0!</v>
      </c>
      <c r="Z9" s="17" t="s">
        <v>77</v>
      </c>
    </row>
    <row r="10" spans="1:31">
      <c r="E10" s="15">
        <v>1.06</v>
      </c>
      <c r="W10" s="15" t="e">
        <f t="shared" si="0"/>
        <v>#DIV/0!</v>
      </c>
    </row>
    <row r="11" spans="1:31">
      <c r="A11" s="17"/>
      <c r="C11" s="17"/>
      <c r="E11" s="15">
        <v>1.06</v>
      </c>
      <c r="W11" s="15" t="e">
        <f t="shared" si="0"/>
        <v>#DIV/0!</v>
      </c>
      <c r="Y11" s="17" t="s">
        <v>65</v>
      </c>
      <c r="Z11" s="15">
        <f>1.5996*10^8</f>
        <v>159960000</v>
      </c>
      <c r="AA11" s="17" t="s">
        <v>70</v>
      </c>
      <c r="AB11" s="15">
        <f>AA4+Z11</f>
        <v>90.221242994070053</v>
      </c>
    </row>
    <row r="12" spans="1:31">
      <c r="E12" s="15">
        <v>1.06</v>
      </c>
      <c r="W12" s="15" t="e">
        <f t="shared" si="0"/>
        <v>#DIV/0!</v>
      </c>
      <c r="Y12" s="17" t="s">
        <v>66</v>
      </c>
      <c r="Z12" s="15">
        <f>0.000662</f>
        <v>6.6200000000000005E-4</v>
      </c>
    </row>
    <row r="13" spans="1:31">
      <c r="E13" s="15">
        <v>1.06</v>
      </c>
      <c r="W13" s="15" t="e">
        <f t="shared" si="0"/>
        <v>#DIV/0!</v>
      </c>
      <c r="Y13" s="17" t="s">
        <v>67</v>
      </c>
      <c r="Z13" s="15">
        <f>C2</f>
        <v>1013</v>
      </c>
    </row>
    <row r="14" spans="1:31">
      <c r="E14" s="15">
        <v>1.06</v>
      </c>
      <c r="W14" s="15" t="e">
        <f t="shared" si="0"/>
        <v>#DIV/0!</v>
      </c>
      <c r="Y14" s="17" t="s">
        <v>68</v>
      </c>
      <c r="Z14" s="15">
        <v>200</v>
      </c>
    </row>
    <row r="15" spans="1:31" ht="15" customHeight="1">
      <c r="E15" s="15">
        <v>1.06</v>
      </c>
      <c r="W15" s="15" t="e">
        <f t="shared" si="0"/>
        <v>#DIV/0!</v>
      </c>
      <c r="Y15" s="17" t="s">
        <v>69</v>
      </c>
    </row>
    <row r="16" spans="1:31">
      <c r="W16" s="15" t="e">
        <f t="shared" si="0"/>
        <v>#DIV/0!</v>
      </c>
      <c r="Y16" s="1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workbookViewId="0">
      <selection activeCell="O7" sqref="O7"/>
    </sheetView>
  </sheetViews>
  <sheetFormatPr defaultColWidth="9.109375" defaultRowHeight="13.2"/>
  <cols>
    <col min="1" max="3" width="27.5546875" style="15" customWidth="1"/>
    <col min="4" max="4" width="29.33203125" style="15" customWidth="1"/>
    <col min="5" max="5" width="20.6640625" style="15" customWidth="1"/>
    <col min="6" max="6" width="21.6640625" style="15" customWidth="1"/>
    <col min="7" max="7" width="16.5546875" style="15" customWidth="1"/>
    <col min="8" max="8" width="19.5546875" style="15" customWidth="1"/>
    <col min="9" max="9" width="22.33203125" style="15" customWidth="1"/>
    <col min="10" max="17" width="27.33203125" style="15" customWidth="1"/>
    <col min="18" max="18" width="79.5546875" style="15" customWidth="1"/>
    <col min="19" max="19" width="9.109375" style="15"/>
    <col min="20" max="20" width="13.109375" style="15" bestFit="1" customWidth="1"/>
    <col min="21" max="16384" width="9.109375" style="15"/>
  </cols>
  <sheetData>
    <row r="1" spans="1:20">
      <c r="A1" s="15" t="s">
        <v>53</v>
      </c>
      <c r="B1" s="15" t="s">
        <v>57</v>
      </c>
      <c r="C1" s="17" t="s">
        <v>96</v>
      </c>
      <c r="D1" s="15" t="s">
        <v>52</v>
      </c>
      <c r="E1" s="15" t="s">
        <v>54</v>
      </c>
      <c r="F1" s="15" t="s">
        <v>55</v>
      </c>
      <c r="G1" s="15" t="s">
        <v>58</v>
      </c>
      <c r="H1" s="15" t="s">
        <v>56</v>
      </c>
      <c r="I1" s="15" t="s">
        <v>59</v>
      </c>
      <c r="J1" s="15" t="s">
        <v>60</v>
      </c>
      <c r="K1" s="17" t="s">
        <v>65</v>
      </c>
      <c r="L1" s="17" t="s">
        <v>66</v>
      </c>
      <c r="M1" s="17" t="s">
        <v>67</v>
      </c>
      <c r="N1" s="17" t="s">
        <v>71</v>
      </c>
      <c r="O1" s="17" t="s">
        <v>62</v>
      </c>
      <c r="P1" s="17" t="s">
        <v>72</v>
      </c>
      <c r="Q1" s="17"/>
      <c r="R1" s="17" t="s">
        <v>63</v>
      </c>
    </row>
    <row r="2" spans="1:20">
      <c r="A2" s="15">
        <v>7</v>
      </c>
      <c r="B2" s="15">
        <v>50</v>
      </c>
      <c r="C2" s="15">
        <f>(B2)*9/5+32</f>
        <v>122</v>
      </c>
      <c r="D2" s="15">
        <f>A2/0.12452*273/(273+B2)</f>
        <v>47.513722042488361</v>
      </c>
      <c r="E2" s="15">
        <f>(1-(0.0001*(SQRT((0.1*B2)+1)+4)))*461.51*(B2+273.15)*D2*0.00001</f>
        <v>70.814817555007636</v>
      </c>
      <c r="F2" s="15">
        <f>6.1078*EXP(17.08085*B2/(234.175+B2))</f>
        <v>123.3352999313295</v>
      </c>
      <c r="G2" s="15">
        <f>E2/F2</f>
        <v>0.57416504110693234</v>
      </c>
      <c r="H2" s="15">
        <f>(234.175*LN(E2/6.1078))/(17.08085-LN(E2/6.1078))</f>
        <v>39.223004326004521</v>
      </c>
      <c r="I2" s="15">
        <f>100*G2</f>
        <v>57.416504110693232</v>
      </c>
      <c r="J2" s="15">
        <f>B2*ATAN(0.151977*(I2+8.313659)^0.5)+ATAN(B2+I2)-ATAN(I2-1.676331)+0.00391838*(I2^1.5)*ATAN(0.023101*I2)-4.686035</f>
        <v>41.350355553673026</v>
      </c>
      <c r="K2" s="15">
        <f>1.5996*10^8</f>
        <v>159960000</v>
      </c>
      <c r="L2" s="15">
        <f>0.000662</f>
        <v>6.6200000000000005E-4</v>
      </c>
      <c r="M2" s="15">
        <v>1013</v>
      </c>
      <c r="N2" s="15">
        <f t="shared" ref="N2:N12" si="0">((O2*L2*M2)-(L2*B2*M2)-E2)*EXP(3999.91/(O2+234.175))</f>
        <v>-159960064.81731394</v>
      </c>
      <c r="O2" s="15">
        <v>40.793794153493778</v>
      </c>
      <c r="P2" s="16">
        <f>K2+N2</f>
        <v>-64.817313939332962</v>
      </c>
      <c r="Q2" s="16"/>
      <c r="R2" s="17" t="s">
        <v>73</v>
      </c>
    </row>
    <row r="3" spans="1:20" ht="12" customHeight="1">
      <c r="A3" s="15">
        <v>7.2</v>
      </c>
      <c r="B3" s="15">
        <v>49.5</v>
      </c>
      <c r="C3" s="15">
        <f t="shared" ref="C3:C12" si="1">(B3)*9/5+32</f>
        <v>121.1</v>
      </c>
      <c r="D3" s="15">
        <f t="shared" ref="D3:D12" si="2">A3/0.12452*273/(273+B3)</f>
        <v>48.947026348620568</v>
      </c>
      <c r="E3" s="15">
        <f t="shared" ref="E3:E12" si="3">(1-(0.0001*(SQRT((0.1*B3)+1)+4)))*461.51*(B3+273.15)*D3*0.00001</f>
        <v>72.8382250189742</v>
      </c>
      <c r="F3" s="15">
        <f t="shared" ref="F3:F12" si="4">6.1078*EXP(17.08085*B3/(234.175+B3))</f>
        <v>120.31309187743014</v>
      </c>
      <c r="G3" s="15">
        <f t="shared" ref="G3:G12" si="5">E3/F3</f>
        <v>0.60540564524082452</v>
      </c>
      <c r="H3" s="15">
        <f t="shared" ref="H3:H12" si="6">(234.175*LN(E3/6.1078))/(17.08085-LN(E3/6.1078))</f>
        <v>39.750483122624956</v>
      </c>
      <c r="I3" s="15">
        <f t="shared" ref="I3:I12" si="7">100*G3</f>
        <v>60.540564524082455</v>
      </c>
      <c r="J3" s="15">
        <f t="shared" ref="J3:J12" si="8">B3*ATAN(0.151977*(I3+8.313659)^0.5)+ATAN(B3+I3)-ATAN(I3-1.676331)+0.00391838*(I3^1.5)*ATAN(0.023101*I3)-4.686035</f>
        <v>41.643095201778124</v>
      </c>
      <c r="K3" s="15">
        <f t="shared" ref="K3:K12" si="9">1.5996*10^8</f>
        <v>159960000</v>
      </c>
      <c r="L3" s="15">
        <f t="shared" ref="L3:L12" si="10">0.000662</f>
        <v>6.6200000000000005E-4</v>
      </c>
      <c r="M3" s="15">
        <v>1013</v>
      </c>
      <c r="N3" s="15">
        <f t="shared" si="0"/>
        <v>-32941437.999460399</v>
      </c>
      <c r="O3" s="15">
        <v>68.516618351217048</v>
      </c>
      <c r="P3" s="16">
        <f t="shared" ref="P3:P12" si="11">K3+N3</f>
        <v>127018562.0005396</v>
      </c>
      <c r="Q3" s="16"/>
      <c r="R3" s="17">
        <f>((R16*R12*R13)-(R12*B2*R13)-E2)*EXP(3999.91/(R16+234.175))</f>
        <v>-2732716962.9217954</v>
      </c>
    </row>
    <row r="4" spans="1:20">
      <c r="A4" s="15">
        <v>7.4</v>
      </c>
      <c r="B4" s="15">
        <v>49</v>
      </c>
      <c r="C4" s="15">
        <f t="shared" si="1"/>
        <v>120.2</v>
      </c>
      <c r="D4" s="15">
        <f t="shared" si="2"/>
        <v>50.384781910361873</v>
      </c>
      <c r="E4" s="15">
        <f t="shared" si="3"/>
        <v>74.861640026422009</v>
      </c>
      <c r="F4" s="15">
        <f t="shared" si="4"/>
        <v>117.35465800806662</v>
      </c>
      <c r="G4" s="15">
        <f t="shared" si="5"/>
        <v>0.63790940468060697</v>
      </c>
      <c r="H4" s="15">
        <f t="shared" si="6"/>
        <v>40.265465788881492</v>
      </c>
      <c r="I4" s="15">
        <f t="shared" si="7"/>
        <v>63.790940468060697</v>
      </c>
      <c r="J4" s="15">
        <f t="shared" si="8"/>
        <v>41.933002425287171</v>
      </c>
      <c r="K4" s="15">
        <f t="shared" si="9"/>
        <v>159960000</v>
      </c>
      <c r="L4" s="15">
        <f t="shared" si="10"/>
        <v>6.6200000000000005E-4</v>
      </c>
      <c r="M4" s="15">
        <v>1013</v>
      </c>
      <c r="N4" s="15">
        <f t="shared" si="0"/>
        <v>-22435172.036394093</v>
      </c>
      <c r="O4" s="15">
        <v>76.154808480508493</v>
      </c>
      <c r="P4" s="16">
        <f t="shared" si="11"/>
        <v>137524827.96360591</v>
      </c>
      <c r="Q4" s="16"/>
    </row>
    <row r="5" spans="1:20">
      <c r="A5" s="15">
        <v>6.8</v>
      </c>
      <c r="B5" s="15">
        <v>50.5</v>
      </c>
      <c r="C5" s="15">
        <f t="shared" si="1"/>
        <v>122.9</v>
      </c>
      <c r="D5" s="15">
        <f t="shared" si="2"/>
        <v>46.084848352449292</v>
      </c>
      <c r="E5" s="15">
        <f t="shared" si="3"/>
        <v>68.791417590379595</v>
      </c>
      <c r="F5" s="15">
        <f t="shared" si="4"/>
        <v>126.42240632395294</v>
      </c>
      <c r="G5" s="15">
        <f t="shared" si="5"/>
        <v>0.54413944165960604</v>
      </c>
      <c r="H5" s="15">
        <f t="shared" si="6"/>
        <v>38.682351691979385</v>
      </c>
      <c r="I5" s="15">
        <f t="shared" si="7"/>
        <v>54.413944165960601</v>
      </c>
      <c r="J5" s="15">
        <f t="shared" si="8"/>
        <v>41.053734544802623</v>
      </c>
      <c r="K5" s="15">
        <f t="shared" si="9"/>
        <v>159960000</v>
      </c>
      <c r="L5" s="15">
        <f t="shared" si="10"/>
        <v>6.6200000000000005E-4</v>
      </c>
      <c r="M5" s="15">
        <v>1013</v>
      </c>
      <c r="N5" s="15">
        <f t="shared" si="0"/>
        <v>-41157625.165138558</v>
      </c>
      <c r="O5" s="15">
        <v>63.496822836695991</v>
      </c>
      <c r="P5" s="16">
        <f t="shared" si="11"/>
        <v>118802374.83486144</v>
      </c>
      <c r="Q5" s="16"/>
      <c r="R5" s="17" t="s">
        <v>74</v>
      </c>
    </row>
    <row r="6" spans="1:20">
      <c r="A6" s="15">
        <v>6.6</v>
      </c>
      <c r="B6" s="15">
        <v>51</v>
      </c>
      <c r="C6" s="15">
        <f t="shared" si="1"/>
        <v>123.8</v>
      </c>
      <c r="D6" s="15">
        <f t="shared" si="2"/>
        <v>44.660384766391829</v>
      </c>
      <c r="E6" s="15">
        <f t="shared" si="3"/>
        <v>66.768025081544636</v>
      </c>
      <c r="F6" s="15">
        <f t="shared" si="4"/>
        <v>129.57555008204199</v>
      </c>
      <c r="G6" s="15">
        <f t="shared" si="5"/>
        <v>0.51528259026698964</v>
      </c>
      <c r="H6" s="15">
        <f t="shared" si="6"/>
        <v>38.127789373819169</v>
      </c>
      <c r="I6" s="15">
        <f t="shared" si="7"/>
        <v>51.528259026698962</v>
      </c>
      <c r="J6" s="15">
        <f t="shared" si="8"/>
        <v>40.75223428116702</v>
      </c>
      <c r="K6" s="15">
        <f t="shared" si="9"/>
        <v>159960000</v>
      </c>
      <c r="L6" s="15">
        <f t="shared" si="10"/>
        <v>6.6200000000000005E-4</v>
      </c>
      <c r="M6" s="15">
        <v>1013</v>
      </c>
      <c r="N6" s="15">
        <f t="shared" si="0"/>
        <v>-31860072.365260087</v>
      </c>
      <c r="O6" s="15">
        <v>67.538834363266758</v>
      </c>
      <c r="P6" s="16">
        <f t="shared" si="11"/>
        <v>128099927.63473991</v>
      </c>
      <c r="R6" s="17" t="s">
        <v>64</v>
      </c>
    </row>
    <row r="7" spans="1:20">
      <c r="A7" s="15">
        <v>27.158932708716485</v>
      </c>
      <c r="B7" s="15">
        <v>98.201202087618455</v>
      </c>
      <c r="C7" s="15">
        <f t="shared" si="1"/>
        <v>208.76216375771321</v>
      </c>
      <c r="D7" s="15">
        <f t="shared" si="2"/>
        <v>160.40830883113313</v>
      </c>
      <c r="E7" s="15">
        <f t="shared" si="3"/>
        <v>274.71104446970588</v>
      </c>
      <c r="F7" s="15">
        <f t="shared" si="4"/>
        <v>949.69163998402746</v>
      </c>
      <c r="G7" s="15">
        <f t="shared" si="5"/>
        <v>0.28926341235806408</v>
      </c>
      <c r="H7" s="15">
        <f t="shared" si="6"/>
        <v>67.14322183582955</v>
      </c>
      <c r="I7" s="15">
        <f t="shared" si="7"/>
        <v>28.926341235806408</v>
      </c>
      <c r="J7" s="15">
        <f t="shared" si="8"/>
        <v>69.133461357559511</v>
      </c>
      <c r="K7" s="15">
        <f t="shared" si="9"/>
        <v>159960000</v>
      </c>
      <c r="L7" s="15">
        <f t="shared" si="10"/>
        <v>6.6200000000000005E-4</v>
      </c>
      <c r="M7" s="15">
        <v>1013</v>
      </c>
      <c r="N7" s="15">
        <f t="shared" si="0"/>
        <v>-159959999.99999991</v>
      </c>
      <c r="O7" s="15">
        <v>68.72829476799393</v>
      </c>
      <c r="P7" s="16">
        <f t="shared" si="11"/>
        <v>0</v>
      </c>
      <c r="R7" s="17" t="s">
        <v>75</v>
      </c>
    </row>
    <row r="8" spans="1:20">
      <c r="A8" s="15">
        <v>27.592296678773131</v>
      </c>
      <c r="B8" s="15">
        <v>84.238126669537152</v>
      </c>
      <c r="C8" s="15">
        <f t="shared" si="1"/>
        <v>183.62862800516686</v>
      </c>
      <c r="D8" s="15">
        <f t="shared" si="2"/>
        <v>169.33767115087286</v>
      </c>
      <c r="E8" s="15">
        <f t="shared" si="3"/>
        <v>279.10503521324051</v>
      </c>
      <c r="F8" s="15">
        <f t="shared" si="4"/>
        <v>560.26464795651509</v>
      </c>
      <c r="G8" s="15">
        <f t="shared" si="5"/>
        <v>0.49816642229924035</v>
      </c>
      <c r="H8" s="15">
        <f t="shared" si="6"/>
        <v>67.503844426779438</v>
      </c>
      <c r="I8" s="15">
        <f t="shared" si="7"/>
        <v>49.816642229924035</v>
      </c>
      <c r="J8" s="15">
        <f t="shared" si="8"/>
        <v>68.848821292731571</v>
      </c>
      <c r="K8" s="15">
        <f t="shared" si="9"/>
        <v>159960000</v>
      </c>
      <c r="L8" s="15">
        <f t="shared" si="10"/>
        <v>6.6200000000000005E-4</v>
      </c>
      <c r="M8" s="15">
        <v>1013</v>
      </c>
      <c r="N8" s="15">
        <f t="shared" si="0"/>
        <v>-159952422.41197753</v>
      </c>
      <c r="O8" s="15">
        <v>68.359024498802867</v>
      </c>
      <c r="P8" s="16">
        <f t="shared" si="11"/>
        <v>7577.5880224704742</v>
      </c>
      <c r="R8" s="17" t="s">
        <v>76</v>
      </c>
    </row>
    <row r="9" spans="1:20">
      <c r="A9" s="15">
        <v>28.423006086271879</v>
      </c>
      <c r="B9" s="15">
        <v>84.343928310442038</v>
      </c>
      <c r="C9" s="15">
        <f t="shared" si="1"/>
        <v>183.81907095879566</v>
      </c>
      <c r="D9" s="15">
        <f t="shared" si="2"/>
        <v>174.38420097700728</v>
      </c>
      <c r="E9" s="15">
        <f t="shared" si="3"/>
        <v>287.50784515968337</v>
      </c>
      <c r="F9" s="15">
        <f t="shared" si="4"/>
        <v>562.60734335825373</v>
      </c>
      <c r="G9" s="15">
        <f t="shared" si="5"/>
        <v>0.5110275373291846</v>
      </c>
      <c r="H9" s="15">
        <f t="shared" si="6"/>
        <v>68.180257990768737</v>
      </c>
      <c r="I9" s="15">
        <f t="shared" si="7"/>
        <v>51.102753732918458</v>
      </c>
      <c r="J9" s="15">
        <f t="shared" si="8"/>
        <v>69.459279536697466</v>
      </c>
      <c r="K9" s="15">
        <f t="shared" si="9"/>
        <v>159960000</v>
      </c>
      <c r="L9" s="15">
        <f t="shared" si="10"/>
        <v>6.6200000000000005E-4</v>
      </c>
      <c r="M9" s="15">
        <v>1013</v>
      </c>
      <c r="N9" s="15">
        <f t="shared" si="0"/>
        <v>-9010908025.9068356</v>
      </c>
      <c r="P9" s="16">
        <f t="shared" si="11"/>
        <v>-8850948025.9068356</v>
      </c>
      <c r="R9" s="17" t="s">
        <v>77</v>
      </c>
    </row>
    <row r="10" spans="1:20">
      <c r="A10" s="15">
        <v>28.365727498409651</v>
      </c>
      <c r="B10" s="15">
        <v>86.385010695940366</v>
      </c>
      <c r="C10" s="15">
        <f t="shared" si="1"/>
        <v>187.49301925269265</v>
      </c>
      <c r="D10" s="15">
        <f t="shared" si="2"/>
        <v>173.04438110547585</v>
      </c>
      <c r="E10" s="15">
        <f t="shared" si="3"/>
        <v>286.92682117190441</v>
      </c>
      <c r="F10" s="15">
        <f t="shared" si="4"/>
        <v>609.44011444746673</v>
      </c>
      <c r="G10" s="15">
        <f t="shared" si="5"/>
        <v>0.4708039631294032</v>
      </c>
      <c r="H10" s="15">
        <f t="shared" si="6"/>
        <v>68.134030299587508</v>
      </c>
      <c r="I10" s="15">
        <f t="shared" si="7"/>
        <v>47.080396312940323</v>
      </c>
      <c r="J10" s="15">
        <f t="shared" si="8"/>
        <v>69.53070723264851</v>
      </c>
      <c r="K10" s="15">
        <f t="shared" si="9"/>
        <v>159960000</v>
      </c>
      <c r="L10" s="15">
        <f t="shared" si="10"/>
        <v>6.6200000000000005E-4</v>
      </c>
      <c r="M10" s="15">
        <v>1013</v>
      </c>
      <c r="N10" s="15">
        <f t="shared" si="0"/>
        <v>-9031538270.3899841</v>
      </c>
      <c r="P10" s="16">
        <f t="shared" si="11"/>
        <v>-8871578270.3899841</v>
      </c>
    </row>
    <row r="11" spans="1:20">
      <c r="A11" s="15">
        <v>28.428291691385674</v>
      </c>
      <c r="B11" s="15">
        <v>88.346157115165298</v>
      </c>
      <c r="C11" s="15">
        <f t="shared" si="1"/>
        <v>191.02308280729753</v>
      </c>
      <c r="D11" s="15">
        <f t="shared" si="2"/>
        <v>172.4848111585865</v>
      </c>
      <c r="E11" s="15">
        <f t="shared" si="3"/>
        <v>287.55811906081561</v>
      </c>
      <c r="F11" s="15">
        <f t="shared" si="4"/>
        <v>657.48016878783403</v>
      </c>
      <c r="G11" s="15">
        <f t="shared" si="5"/>
        <v>0.43736394299309939</v>
      </c>
      <c r="H11" s="15">
        <f t="shared" si="6"/>
        <v>68.184254176845627</v>
      </c>
      <c r="I11" s="15">
        <f t="shared" si="7"/>
        <v>43.736394299309936</v>
      </c>
      <c r="J11" s="15">
        <f t="shared" si="8"/>
        <v>69.674639144285194</v>
      </c>
      <c r="K11" s="15">
        <f t="shared" si="9"/>
        <v>159960000</v>
      </c>
      <c r="L11" s="15">
        <f t="shared" si="10"/>
        <v>6.6200000000000005E-4</v>
      </c>
      <c r="M11" s="15">
        <v>1013</v>
      </c>
      <c r="N11" s="15">
        <f t="shared" si="0"/>
        <v>-9082514388.8968754</v>
      </c>
      <c r="P11" s="16">
        <f t="shared" si="11"/>
        <v>-8922554388.8968754</v>
      </c>
      <c r="Q11" s="17" t="s">
        <v>65</v>
      </c>
      <c r="R11" s="15">
        <f>1.5996*10^8</f>
        <v>159960000</v>
      </c>
      <c r="S11" s="17" t="s">
        <v>70</v>
      </c>
      <c r="T11" s="15">
        <f>N4+R11</f>
        <v>137524827.96360591</v>
      </c>
    </row>
    <row r="12" spans="1:20">
      <c r="A12" s="15">
        <v>28.50174721188964</v>
      </c>
      <c r="B12" s="15">
        <v>89.080021868070446</v>
      </c>
      <c r="C12" s="15">
        <f t="shared" si="1"/>
        <v>192.34403936252679</v>
      </c>
      <c r="D12" s="15">
        <f t="shared" si="2"/>
        <v>172.57999660163091</v>
      </c>
      <c r="E12" s="15">
        <f t="shared" si="3"/>
        <v>288.30055761606519</v>
      </c>
      <c r="F12" s="15">
        <f t="shared" si="4"/>
        <v>676.25488708430464</v>
      </c>
      <c r="G12" s="15">
        <f t="shared" si="5"/>
        <v>0.42631937028815065</v>
      </c>
      <c r="H12" s="15">
        <f t="shared" si="6"/>
        <v>68.243200405001772</v>
      </c>
      <c r="I12" s="15">
        <f t="shared" si="7"/>
        <v>42.631937028815067</v>
      </c>
      <c r="J12" s="15">
        <f t="shared" si="8"/>
        <v>69.761857740748056</v>
      </c>
      <c r="K12" s="15">
        <f t="shared" si="9"/>
        <v>159960000</v>
      </c>
      <c r="L12" s="15">
        <f t="shared" si="10"/>
        <v>6.6200000000000005E-4</v>
      </c>
      <c r="M12" s="15">
        <v>1013</v>
      </c>
      <c r="N12" s="15">
        <f t="shared" si="0"/>
        <v>-9114846880.6678276</v>
      </c>
      <c r="P12" s="16">
        <f t="shared" si="11"/>
        <v>-8954886880.6678276</v>
      </c>
      <c r="Q12" s="17" t="s">
        <v>66</v>
      </c>
      <c r="R12" s="15">
        <f>0.000662</f>
        <v>6.6200000000000005E-4</v>
      </c>
    </row>
    <row r="13" spans="1:20">
      <c r="Q13" s="17" t="s">
        <v>67</v>
      </c>
      <c r="R13" s="15">
        <f>1013</f>
        <v>1013</v>
      </c>
    </row>
    <row r="14" spans="1:20">
      <c r="Q14" s="17" t="s">
        <v>68</v>
      </c>
      <c r="R14" s="15">
        <f>B3</f>
        <v>49.5</v>
      </c>
    </row>
    <row r="15" spans="1:20">
      <c r="Q15" s="17" t="s">
        <v>69</v>
      </c>
    </row>
    <row r="16" spans="1:20">
      <c r="Q16" s="17" t="s">
        <v>62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"/>
  <sheetViews>
    <sheetView workbookViewId="0">
      <selection activeCell="D39" sqref="D38:D39"/>
    </sheetView>
  </sheetViews>
  <sheetFormatPr defaultRowHeight="13.2"/>
  <cols>
    <col min="1" max="1" width="23.44140625" customWidth="1"/>
    <col min="2" max="2" width="24.109375" customWidth="1"/>
    <col min="3" max="3" width="20.88671875" customWidth="1"/>
    <col min="4" max="4" width="26" customWidth="1"/>
    <col min="5" max="5" width="24.109375" customWidth="1"/>
    <col min="6" max="7" width="20.88671875" customWidth="1"/>
    <col min="8" max="9" width="20.33203125" customWidth="1"/>
    <col min="10" max="10" width="18.5546875" customWidth="1"/>
    <col min="11" max="12" width="26.44140625" customWidth="1"/>
    <col min="13" max="13" width="24.44140625" style="20" customWidth="1"/>
    <col min="14" max="14" width="15.88671875" style="20" customWidth="1"/>
    <col min="15" max="15" width="26" customWidth="1"/>
    <col min="16" max="16" width="23.6640625" style="20" customWidth="1"/>
  </cols>
  <sheetData>
    <row r="1" spans="1:16">
      <c r="A1" s="18" t="s">
        <v>82</v>
      </c>
      <c r="B1" s="18" t="s">
        <v>79</v>
      </c>
      <c r="C1" s="18" t="s">
        <v>80</v>
      </c>
      <c r="D1" s="18" t="s">
        <v>88</v>
      </c>
      <c r="E1" s="18" t="s">
        <v>81</v>
      </c>
      <c r="F1" s="18" t="s">
        <v>89</v>
      </c>
      <c r="G1" s="18" t="s">
        <v>90</v>
      </c>
      <c r="H1" s="18" t="s">
        <v>78</v>
      </c>
      <c r="I1" s="18" t="s">
        <v>83</v>
      </c>
      <c r="J1" s="18" t="s">
        <v>91</v>
      </c>
      <c r="K1" s="18" t="s">
        <v>84</v>
      </c>
      <c r="L1" s="18" t="s">
        <v>85</v>
      </c>
      <c r="M1" s="19" t="s">
        <v>86</v>
      </c>
      <c r="N1" s="19" t="s">
        <v>93</v>
      </c>
      <c r="O1" s="18" t="s">
        <v>94</v>
      </c>
      <c r="P1" s="19" t="s">
        <v>95</v>
      </c>
    </row>
    <row r="2" spans="1:16">
      <c r="A2" s="21">
        <v>26800</v>
      </c>
      <c r="B2" s="18">
        <v>337.88</v>
      </c>
      <c r="C2">
        <v>114.69499999999999</v>
      </c>
      <c r="D2">
        <v>1190.18</v>
      </c>
      <c r="E2">
        <v>309.14</v>
      </c>
      <c r="F2">
        <v>1</v>
      </c>
      <c r="G2">
        <f>(D2*A2*F2)+(1-F2)*E2*A2</f>
        <v>31896824</v>
      </c>
      <c r="H2">
        <f>24*300</f>
        <v>7200</v>
      </c>
      <c r="I2">
        <f>G2*H2</f>
        <v>229657132800</v>
      </c>
      <c r="K2">
        <f>(I2/1000000)/1.032</f>
        <v>222535.98139534882</v>
      </c>
      <c r="L2">
        <v>0.83</v>
      </c>
      <c r="M2" s="20">
        <v>4.62</v>
      </c>
      <c r="N2" s="20">
        <f>(K2*M2)/L2</f>
        <v>1238694.2578873634</v>
      </c>
      <c r="O2">
        <v>0.05</v>
      </c>
      <c r="P2" s="20">
        <f>(N2*(1+O2))-N2</f>
        <v>61934.712894368218</v>
      </c>
    </row>
    <row r="3" spans="1:16">
      <c r="A3" s="21">
        <f>A2</f>
        <v>26800</v>
      </c>
      <c r="B3">
        <f>B2</f>
        <v>337.88</v>
      </c>
      <c r="C3">
        <f>C2</f>
        <v>114.69499999999999</v>
      </c>
      <c r="D3">
        <f>D2</f>
        <v>1190.18</v>
      </c>
      <c r="E3">
        <f>E2</f>
        <v>309.14</v>
      </c>
      <c r="F3">
        <v>0.95</v>
      </c>
      <c r="G3">
        <f>(D3*A3*F3)+(1-F3)*E3*A3</f>
        <v>30716230.399999999</v>
      </c>
      <c r="H3">
        <f>24*300</f>
        <v>7200</v>
      </c>
      <c r="I3">
        <f>G3*H3</f>
        <v>221156858880</v>
      </c>
      <c r="J3">
        <f>I2-I3</f>
        <v>8500273920</v>
      </c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"/>
  <sheetViews>
    <sheetView workbookViewId="0">
      <selection activeCell="E2" sqref="E2"/>
    </sheetView>
  </sheetViews>
  <sheetFormatPr defaultRowHeight="13.2"/>
  <cols>
    <col min="1" max="1" width="19.33203125" customWidth="1"/>
    <col min="2" max="3" width="26.44140625" customWidth="1"/>
    <col min="4" max="4" width="24.44140625" style="20" customWidth="1"/>
    <col min="5" max="5" width="15.88671875" style="20" customWidth="1"/>
  </cols>
  <sheetData>
    <row r="1" spans="1:5">
      <c r="A1" s="18" t="s">
        <v>92</v>
      </c>
      <c r="B1" s="18" t="s">
        <v>84</v>
      </c>
      <c r="C1" s="18" t="s">
        <v>85</v>
      </c>
      <c r="D1" s="19" t="s">
        <v>86</v>
      </c>
      <c r="E1" s="19" t="s">
        <v>87</v>
      </c>
    </row>
    <row r="2" spans="1:5">
      <c r="A2">
        <f>'SQ BTU Calcs'!J3</f>
        <v>8500273920</v>
      </c>
      <c r="B2">
        <f>(A2/1000000)/1.032</f>
        <v>8236.6995348837208</v>
      </c>
      <c r="C2">
        <v>0.83</v>
      </c>
      <c r="D2" s="20">
        <v>4.62</v>
      </c>
      <c r="E2" s="20">
        <f>(B2*D2)/C2</f>
        <v>45847.652832726257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A35"/>
  <sheetViews>
    <sheetView workbookViewId="0">
      <selection activeCell="L12" sqref="L12"/>
    </sheetView>
  </sheetViews>
  <sheetFormatPr defaultRowHeight="13.2"/>
  <cols>
    <col min="2" max="2" width="32.88671875" customWidth="1"/>
    <col min="3" max="3" width="19.6640625" customWidth="1"/>
    <col min="4" max="4" width="15.6640625" style="30" customWidth="1"/>
    <col min="6" max="6" width="12.33203125" customWidth="1"/>
    <col min="8" max="8" width="12.6640625" customWidth="1"/>
    <col min="10" max="10" width="13.109375" customWidth="1"/>
    <col min="12" max="12" width="10.88671875" customWidth="1"/>
    <col min="18" max="18" width="16.5546875" customWidth="1"/>
    <col min="19" max="19" width="18.44140625" customWidth="1"/>
    <col min="20" max="20" width="14.88671875" customWidth="1"/>
  </cols>
  <sheetData>
    <row r="1" spans="2:27" ht="18">
      <c r="B1" s="33" t="s">
        <v>152</v>
      </c>
    </row>
    <row r="2" spans="2:27" ht="18">
      <c r="B2" s="33" t="s">
        <v>153</v>
      </c>
    </row>
    <row r="3" spans="2:27" s="1" customFormat="1">
      <c r="C3" s="1" t="s">
        <v>1</v>
      </c>
      <c r="D3" s="28">
        <v>1010</v>
      </c>
      <c r="E3" s="1" t="s">
        <v>2</v>
      </c>
      <c r="F3" s="3"/>
      <c r="H3" s="3"/>
      <c r="J3" s="3"/>
      <c r="L3" s="3"/>
      <c r="N3" s="3"/>
      <c r="S3" s="1" t="s">
        <v>4</v>
      </c>
      <c r="U3" s="1" t="s">
        <v>5</v>
      </c>
      <c r="V3" s="1" t="s">
        <v>6</v>
      </c>
      <c r="W3" s="1" t="s">
        <v>7</v>
      </c>
      <c r="X3" s="1" t="s">
        <v>8</v>
      </c>
      <c r="Y3"/>
      <c r="Z3"/>
    </row>
    <row r="4" spans="2:27" s="1" customFormat="1">
      <c r="B4" s="4"/>
      <c r="C4" s="1" t="s">
        <v>137</v>
      </c>
      <c r="D4" s="29">
        <v>18.600000000000001</v>
      </c>
      <c r="E4" s="1" t="s">
        <v>11</v>
      </c>
      <c r="F4" s="6">
        <f>1-(0.0001*(SQRT((0.1*$D$4)+1)+4))</f>
        <v>0.99943088465474716</v>
      </c>
      <c r="G4" s="1" t="s">
        <v>12</v>
      </c>
      <c r="H4" s="6">
        <f>6.1078*EXP(17.08085*D4/(234.175+D4))</f>
        <v>21.465150046388384</v>
      </c>
      <c r="I4" s="1" t="s">
        <v>13</v>
      </c>
      <c r="J4" s="6">
        <f>(6.1078*EXP(17.08085*D4/(234.175+D4)))*100000/((1-0.0001*(SQRT((0.1*D4)+1)+4))*461.51*(D4+273.15))</f>
        <v>15.951046540603613</v>
      </c>
      <c r="K4" s="1" t="s">
        <v>134</v>
      </c>
      <c r="L4" s="3"/>
      <c r="N4" s="3"/>
      <c r="Z4"/>
      <c r="AA4"/>
    </row>
    <row r="5" spans="2:27" s="1" customFormat="1">
      <c r="B5" s="7"/>
      <c r="C5" s="1" t="s">
        <v>16</v>
      </c>
      <c r="D5" s="29">
        <v>40</v>
      </c>
      <c r="E5" s="1" t="s">
        <v>17</v>
      </c>
      <c r="F5" s="6">
        <f>D5/100*((6.1078*EXP(17.08085*D4/(234.175+D4)))*100000/((1-0.0001*(SQRT((0.1*D4)+1)+4))*461.51*(D4+273.15)))</f>
        <v>6.380418616241446</v>
      </c>
      <c r="G5" s="1" t="s">
        <v>18</v>
      </c>
      <c r="H5" s="6">
        <f>(1-(0.0001*(SQRT((0.1*D4)+1)+4)))*461.51*(D4+273.15)*F5*0.00001</f>
        <v>8.5860600185553562</v>
      </c>
      <c r="I5" s="1" t="s">
        <v>19</v>
      </c>
      <c r="J5" s="6">
        <f>T5*0.1245222</f>
        <v>0.85112964508129041</v>
      </c>
      <c r="K5" s="1" t="s">
        <v>20</v>
      </c>
      <c r="L5" s="6">
        <f>(621.98*H5/(D3-H5))/1000</f>
        <v>5.3328173267090861E-3</v>
      </c>
      <c r="M5" s="1" t="s">
        <v>25</v>
      </c>
      <c r="N5" s="3"/>
      <c r="P5" s="25">
        <f>(234.175*LN(H5/6.1078))/(17.08085-LN(H5/6.1078))</f>
        <v>4.7641838938536099</v>
      </c>
      <c r="Q5" s="1" t="s">
        <v>22</v>
      </c>
      <c r="R5" s="1">
        <f>F5*((D4+273.13)/273.13)</f>
        <v>6.8149215498704541</v>
      </c>
      <c r="S5" s="1" t="s">
        <v>23</v>
      </c>
      <c r="T5" s="1">
        <f>F5*((D4+273.13)/273.13)*(1013/D3)</f>
        <v>6.8351638911076931</v>
      </c>
      <c r="U5" s="1" t="s">
        <v>24</v>
      </c>
      <c r="V5" s="24">
        <f>L5*1000</f>
        <v>5.3328173267090859</v>
      </c>
      <c r="W5" s="1" t="s">
        <v>21</v>
      </c>
      <c r="X5" s="1">
        <f>1000*(V5/(V5+1))</f>
        <v>842.09239767860788</v>
      </c>
      <c r="Y5" s="1" t="s">
        <v>21</v>
      </c>
      <c r="Z5"/>
      <c r="AA5"/>
    </row>
    <row r="6" spans="2:27" s="1" customFormat="1">
      <c r="B6" s="7"/>
      <c r="C6" s="1" t="s">
        <v>133</v>
      </c>
      <c r="D6" s="28">
        <v>55431</v>
      </c>
      <c r="E6" s="1" t="s">
        <v>128</v>
      </c>
      <c r="F6" s="6"/>
      <c r="H6" s="6"/>
      <c r="J6" s="6"/>
      <c r="L6" s="6"/>
      <c r="N6" s="3"/>
      <c r="P6" s="25"/>
      <c r="V6" s="24"/>
      <c r="Z6"/>
      <c r="AA6"/>
    </row>
    <row r="7" spans="2:27" s="1" customFormat="1">
      <c r="B7" s="7"/>
      <c r="C7" s="1" t="s">
        <v>136</v>
      </c>
      <c r="D7" s="27">
        <f>L5</f>
        <v>5.3328173267090861E-3</v>
      </c>
      <c r="F7" s="6"/>
      <c r="H7" s="6"/>
      <c r="J7" s="6"/>
      <c r="L7" s="6"/>
      <c r="N7" s="3"/>
      <c r="P7" s="25"/>
      <c r="V7" s="24"/>
      <c r="Z7"/>
      <c r="AA7"/>
    </row>
    <row r="8" spans="2:27">
      <c r="B8" s="18"/>
      <c r="C8" s="18" t="s">
        <v>131</v>
      </c>
      <c r="D8" s="30">
        <f>(C30/1000)*(D3*100)/(C31*(D4+273.15))</f>
        <v>1.2058659895585007</v>
      </c>
      <c r="E8" s="1" t="s">
        <v>120</v>
      </c>
    </row>
    <row r="9" spans="2:27">
      <c r="B9" s="18"/>
      <c r="C9" s="1" t="s">
        <v>129</v>
      </c>
      <c r="D9" s="30">
        <f>(1-(J5/100))*C30+((J5/100)*C29)</f>
        <v>28.867618388322878</v>
      </c>
      <c r="E9" s="1" t="s">
        <v>44</v>
      </c>
    </row>
    <row r="10" spans="2:27">
      <c r="C10" s="1" t="s">
        <v>130</v>
      </c>
      <c r="D10" s="30">
        <f>(D9/1000)*(D3*100)/(C31*(D4+273.15))</f>
        <v>1.2020193098768004</v>
      </c>
      <c r="E10" s="1" t="s">
        <v>120</v>
      </c>
    </row>
    <row r="11" spans="2:27">
      <c r="C11" s="1" t="s">
        <v>132</v>
      </c>
      <c r="D11" s="30">
        <v>60171</v>
      </c>
      <c r="E11" s="1" t="s">
        <v>135</v>
      </c>
    </row>
    <row r="12" spans="2:27">
      <c r="C12" s="1" t="s">
        <v>138</v>
      </c>
      <c r="D12" s="29">
        <v>179</v>
      </c>
      <c r="E12" s="1" t="s">
        <v>11</v>
      </c>
    </row>
    <row r="13" spans="2:27">
      <c r="C13" s="1" t="s">
        <v>139</v>
      </c>
      <c r="D13" s="29">
        <v>85</v>
      </c>
      <c r="E13" s="1" t="s">
        <v>11</v>
      </c>
      <c r="F13">
        <f>(D3*D22/(621.98+D22))*1000</f>
        <v>76.207999445307621</v>
      </c>
      <c r="G13" s="18" t="s">
        <v>19</v>
      </c>
      <c r="H13">
        <f>6.1078*EXP(17.08085*D13/(234.175+D13))</f>
        <v>577.3189414307833</v>
      </c>
      <c r="I13" s="18" t="s">
        <v>13</v>
      </c>
    </row>
    <row r="14" spans="2:27">
      <c r="C14" s="1" t="s">
        <v>140</v>
      </c>
      <c r="D14" s="30">
        <f>C35*D4+(D7*((2500.9+(1.82*D4))))</f>
        <v>32.228969384510506</v>
      </c>
      <c r="E14" s="1" t="s">
        <v>126</v>
      </c>
    </row>
    <row r="15" spans="2:27">
      <c r="C15" s="1" t="s">
        <v>141</v>
      </c>
      <c r="D15" s="30">
        <f>C35*D12+(D7*((2500.9+(1.82*D12))))</f>
        <v>195.14816808106207</v>
      </c>
      <c r="E15" s="1" t="s">
        <v>126</v>
      </c>
    </row>
    <row r="16" spans="2:27">
      <c r="C16" s="1" t="s">
        <v>142</v>
      </c>
      <c r="D16" s="30">
        <f>C35*D13+(D22*((2500.9+(1.82*D13))))</f>
        <v>210.14816243080725</v>
      </c>
      <c r="E16" s="1" t="s">
        <v>126</v>
      </c>
    </row>
    <row r="17" spans="2:27">
      <c r="C17" s="1" t="s">
        <v>143</v>
      </c>
      <c r="D17" s="30">
        <f>(D15-D14)*D6</f>
        <v>9030774.1029485501</v>
      </c>
      <c r="E17" s="1" t="s">
        <v>144</v>
      </c>
    </row>
    <row r="18" spans="2:27">
      <c r="C18" s="1" t="s">
        <v>145</v>
      </c>
      <c r="D18" s="29">
        <v>2359</v>
      </c>
      <c r="E18" s="1" t="s">
        <v>128</v>
      </c>
    </row>
    <row r="19" spans="2:27">
      <c r="C19" s="1" t="s">
        <v>146</v>
      </c>
      <c r="D19" s="29">
        <v>53</v>
      </c>
      <c r="E19" s="1" t="s">
        <v>128</v>
      </c>
    </row>
    <row r="20" spans="2:27">
      <c r="C20" s="1" t="s">
        <v>147</v>
      </c>
      <c r="D20" s="30">
        <f>D18-D19</f>
        <v>2306</v>
      </c>
      <c r="E20" s="1" t="s">
        <v>128</v>
      </c>
    </row>
    <row r="21" spans="2:27">
      <c r="C21" s="1" t="s">
        <v>148</v>
      </c>
      <c r="D21" s="30">
        <f>D20*C34</f>
        <v>5303800</v>
      </c>
      <c r="E21" s="1" t="s">
        <v>144</v>
      </c>
    </row>
    <row r="22" spans="2:27">
      <c r="C22" s="1" t="s">
        <v>149</v>
      </c>
      <c r="D22" s="30">
        <f>D7+(D20/D6)</f>
        <v>4.6934087374155463E-2</v>
      </c>
    </row>
    <row r="23" spans="2:27">
      <c r="C23" s="1" t="s">
        <v>150</v>
      </c>
      <c r="D23" s="30">
        <f>D21/D17</f>
        <v>0.58730291994219053</v>
      </c>
      <c r="E23" s="1"/>
    </row>
    <row r="24" spans="2:27">
      <c r="C24" s="1" t="s">
        <v>151</v>
      </c>
      <c r="D24" s="30">
        <f>(F13/H13)*100</f>
        <v>13.200328964859445</v>
      </c>
    </row>
    <row r="28" spans="2:27" ht="13.8" thickBot="1"/>
    <row r="29" spans="2:27" s="11" customFormat="1" ht="12" thickTop="1">
      <c r="B29" s="11" t="s">
        <v>43</v>
      </c>
      <c r="C29" s="11">
        <v>18.106000000000002</v>
      </c>
      <c r="D29" s="31" t="s">
        <v>44</v>
      </c>
    </row>
    <row r="30" spans="2:27" s="1" customFormat="1">
      <c r="B30" s="1" t="s">
        <v>45</v>
      </c>
      <c r="C30" s="1">
        <v>28.96</v>
      </c>
      <c r="D30" s="32" t="s">
        <v>44</v>
      </c>
      <c r="Z30"/>
      <c r="AA30"/>
    </row>
    <row r="31" spans="2:27" s="1" customFormat="1">
      <c r="B31" s="1" t="s">
        <v>123</v>
      </c>
      <c r="C31" s="1">
        <v>8.3140000000000001</v>
      </c>
      <c r="D31" s="32" t="s">
        <v>124</v>
      </c>
      <c r="Z31"/>
      <c r="AA31"/>
    </row>
    <row r="32" spans="2:27" s="1" customFormat="1">
      <c r="B32" s="1" t="s">
        <v>46</v>
      </c>
      <c r="C32" s="1">
        <f>C31/C30</f>
        <v>0.28708563535911602</v>
      </c>
      <c r="D32" s="32" t="s">
        <v>47</v>
      </c>
      <c r="Z32"/>
      <c r="AA32"/>
    </row>
    <row r="33" spans="2:27" s="1" customFormat="1">
      <c r="B33" s="1" t="s">
        <v>48</v>
      </c>
      <c r="C33" s="1">
        <f>C31/C29</f>
        <v>0.45918480061857941</v>
      </c>
      <c r="D33" s="32" t="s">
        <v>47</v>
      </c>
      <c r="Z33"/>
      <c r="AA33"/>
    </row>
    <row r="34" spans="2:27">
      <c r="B34" s="1" t="s">
        <v>125</v>
      </c>
      <c r="C34" s="1">
        <v>2300</v>
      </c>
      <c r="D34" s="32" t="s">
        <v>126</v>
      </c>
    </row>
    <row r="35" spans="2:27">
      <c r="B35" s="1" t="s">
        <v>127</v>
      </c>
      <c r="C35" s="26">
        <v>1.006</v>
      </c>
      <c r="D35" s="32" t="s">
        <v>47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"/>
  <sheetViews>
    <sheetView workbookViewId="0">
      <selection activeCell="A3" sqref="A3"/>
    </sheetView>
  </sheetViews>
  <sheetFormatPr defaultRowHeight="13.2"/>
  <cols>
    <col min="1" max="1" width="19.33203125" customWidth="1"/>
    <col min="2" max="3" width="26.44140625" customWidth="1"/>
    <col min="4" max="4" width="24.44140625" style="20" customWidth="1"/>
    <col min="5" max="5" width="15.88671875" style="20" customWidth="1"/>
    <col min="6" max="6" width="22.6640625" customWidth="1"/>
    <col min="7" max="7" width="21.109375" customWidth="1"/>
    <col min="8" max="8" width="19.33203125" customWidth="1"/>
  </cols>
  <sheetData>
    <row r="1" spans="1:8">
      <c r="A1" s="18" t="s">
        <v>104</v>
      </c>
      <c r="B1" s="18" t="s">
        <v>103</v>
      </c>
      <c r="C1" s="18" t="s">
        <v>98</v>
      </c>
      <c r="D1" s="19" t="s">
        <v>102</v>
      </c>
      <c r="E1" s="19" t="s">
        <v>99</v>
      </c>
      <c r="F1" s="18" t="s">
        <v>100</v>
      </c>
      <c r="G1" s="18" t="s">
        <v>101</v>
      </c>
      <c r="H1" s="18" t="s">
        <v>105</v>
      </c>
    </row>
    <row r="2" spans="1:8">
      <c r="A2">
        <v>15</v>
      </c>
      <c r="B2">
        <f>A2/5*2</f>
        <v>6</v>
      </c>
      <c r="C2">
        <v>0.75</v>
      </c>
      <c r="D2" s="20">
        <v>3</v>
      </c>
      <c r="E2" s="22">
        <v>0.8</v>
      </c>
      <c r="F2">
        <v>8760</v>
      </c>
      <c r="G2">
        <v>300</v>
      </c>
      <c r="H2" s="23">
        <f>B2/C2*(D2/1000000)*E2*F2*G2*1000</f>
        <v>50457.600000000013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standard</vt:lpstr>
      <vt:lpstr>wetbulb</vt:lpstr>
      <vt:lpstr>Peet WB</vt:lpstr>
      <vt:lpstr>spray dry sens</vt:lpstr>
      <vt:lpstr>SQ BTU Calcs</vt:lpstr>
      <vt:lpstr>Liq eff savings</vt:lpstr>
      <vt:lpstr>Enthalpy</vt:lpstr>
      <vt:lpstr>Feed water temp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Bossong</dc:creator>
  <cp:lastModifiedBy>Jeff Bossong</cp:lastModifiedBy>
  <dcterms:created xsi:type="dcterms:W3CDTF">2013-04-08T21:27:55Z</dcterms:created>
  <dcterms:modified xsi:type="dcterms:W3CDTF">2024-12-12T18:08:12Z</dcterms:modified>
</cp:coreProperties>
</file>