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ffb\OneDrive - Intelex U.S.A\H2O docs\Literature Files\Dryer spreadsheets\"/>
    </mc:Choice>
  </mc:AlternateContent>
  <xr:revisionPtr revIDLastSave="0" documentId="8_{D5C53D27-0BFA-4942-8A88-8841468A5704}" xr6:coauthVersionLast="47" xr6:coauthVersionMax="47" xr10:uidLastSave="{00000000-0000-0000-0000-000000000000}"/>
  <bookViews>
    <workbookView xWindow="28680" yWindow="570" windowWidth="20730" windowHeight="11040" xr2:uid="{5EDC9C8A-A208-4E3C-BDA1-215FF01680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31" i="1"/>
  <c r="L14" i="1"/>
  <c r="J12" i="1"/>
  <c r="L15" i="1" s="1"/>
  <c r="D15" i="1" s="1"/>
  <c r="H12" i="1"/>
  <c r="F12" i="1"/>
  <c r="D23" i="1" s="1"/>
  <c r="J11" i="1"/>
  <c r="J10" i="1"/>
  <c r="L13" i="1" s="1"/>
  <c r="D7" i="1"/>
  <c r="F4" i="1"/>
  <c r="R4" i="1" s="1"/>
  <c r="J3" i="1"/>
  <c r="H3" i="1"/>
  <c r="F3" i="1"/>
  <c r="H4" i="1" l="1"/>
  <c r="T4" i="1"/>
  <c r="J4" i="1" s="1"/>
  <c r="D8" i="1" s="1"/>
  <c r="D9" i="1" s="1"/>
  <c r="D10" i="1" s="1"/>
  <c r="P4" i="1" l="1"/>
  <c r="L4" i="1"/>
  <c r="V4" i="1" l="1"/>
  <c r="X4" i="1" s="1"/>
  <c r="D6" i="1"/>
  <c r="D14" i="1" l="1"/>
  <c r="D19" i="1"/>
  <c r="D13" i="1"/>
  <c r="D20" i="1" l="1"/>
  <c r="D22" i="1" s="1"/>
  <c r="D18" i="1"/>
  <c r="D16" i="1"/>
</calcChain>
</file>

<file path=xl/sharedStrings.xml><?xml version="1.0" encoding="utf-8"?>
<sst xmlns="http://schemas.openxmlformats.org/spreadsheetml/2006/main" count="87" uniqueCount="68">
  <si>
    <t>Dryer Efficiency Spreadheet</t>
  </si>
  <si>
    <t>HR Input (good til 350C)</t>
  </si>
  <si>
    <t xml:space="preserve">Pressure </t>
  </si>
  <si>
    <t>hPa</t>
  </si>
  <si>
    <t>AH Normalized</t>
  </si>
  <si>
    <t>Hum ratio</t>
  </si>
  <si>
    <t>grams water /g dry air</t>
  </si>
  <si>
    <t>specific humidity</t>
  </si>
  <si>
    <t>grams water/kg moist air</t>
  </si>
  <si>
    <t>Temperature C -Ambient</t>
  </si>
  <si>
    <t>C</t>
  </si>
  <si>
    <t>Cv</t>
  </si>
  <si>
    <t>Ps</t>
  </si>
  <si>
    <t>g/m3 sat</t>
  </si>
  <si>
    <t>Relative Humidity</t>
  </si>
  <si>
    <t>%RH</t>
  </si>
  <si>
    <t>g/m3</t>
  </si>
  <si>
    <t>Pd</t>
  </si>
  <si>
    <t>%vol</t>
  </si>
  <si>
    <t>kg/kg</t>
  </si>
  <si>
    <t>DP</t>
  </si>
  <si>
    <t>g/m3 corrected to 0</t>
  </si>
  <si>
    <t>g/Nm3</t>
  </si>
  <si>
    <t>g/kg</t>
  </si>
  <si>
    <t>Mass flow rate (gas)</t>
  </si>
  <si>
    <t>kg/hr</t>
  </si>
  <si>
    <t>Humidity ratio - inlet</t>
  </si>
  <si>
    <t>Dry gas density</t>
  </si>
  <si>
    <t>kg/m3</t>
  </si>
  <si>
    <t>Mol wt mixed gas</t>
  </si>
  <si>
    <t>kg/kmol</t>
  </si>
  <si>
    <t>Mixed gas density</t>
  </si>
  <si>
    <t>T (K)</t>
  </si>
  <si>
    <t>Vol flow rate (gas)</t>
  </si>
  <si>
    <t>m3/hr</t>
  </si>
  <si>
    <t>Temperature  -Inlet</t>
  </si>
  <si>
    <t>Temperature  -Outlet</t>
  </si>
  <si>
    <t>hfg</t>
  </si>
  <si>
    <t>Enthalpy - Ambient</t>
  </si>
  <si>
    <t>kJ/kg</t>
  </si>
  <si>
    <t>Enthalpy -  Inlet</t>
  </si>
  <si>
    <t>Enthalpy - Outlet</t>
  </si>
  <si>
    <t>Energy Usage</t>
  </si>
  <si>
    <t>kJ/hr</t>
  </si>
  <si>
    <t>H2O mass (solids) - IN</t>
  </si>
  <si>
    <t>H2O mass (solids) - Out</t>
  </si>
  <si>
    <t>Evaporation Rate By air</t>
  </si>
  <si>
    <t>Evaporation Energy - min</t>
  </si>
  <si>
    <t>Humidity ratio - outlet</t>
  </si>
  <si>
    <t>Dryer efficiency</t>
  </si>
  <si>
    <t>Exhaust RH</t>
  </si>
  <si>
    <t>Molecular Wt of Water=</t>
  </si>
  <si>
    <t>Molecular Wt of air=</t>
  </si>
  <si>
    <t>Universal Gas Constant</t>
  </si>
  <si>
    <t>J/kmol</t>
  </si>
  <si>
    <t>Gas Constant of Air=</t>
  </si>
  <si>
    <t>kJ/(kg K)</t>
  </si>
  <si>
    <t>Gas Constant of Water=</t>
  </si>
  <si>
    <t>Evaporation constant</t>
  </si>
  <si>
    <t>Specific heat of air, Cp</t>
  </si>
  <si>
    <r>
      <t>Specific heat of water vapor, C</t>
    </r>
    <r>
      <rPr>
        <sz val="8"/>
        <rFont val="Geneva"/>
      </rPr>
      <t>pv</t>
    </r>
  </si>
  <si>
    <t>kJ/kgK</t>
  </si>
  <si>
    <r>
      <t>Latent Heat of vaporization, h</t>
    </r>
    <r>
      <rPr>
        <sz val="8"/>
        <rFont val="Geneva"/>
      </rPr>
      <t>fg</t>
    </r>
    <r>
      <rPr>
        <sz val="9"/>
        <rFont val="Geneva"/>
      </rPr>
      <t xml:space="preserve"> at 100C</t>
    </r>
  </si>
  <si>
    <t>Tc for Hfg estimate</t>
  </si>
  <si>
    <t>K</t>
  </si>
  <si>
    <t>Tref</t>
  </si>
  <si>
    <t>hfg estimate</t>
  </si>
  <si>
    <t>hfg= hfgref *(((Tc-T)/(Tc-Tref))^0.38)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</si>
</sst>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9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name val="Geneva"/>
    </font>
    <font>
      <sz val="9"/>
      <name val="Geneva"/>
    </font>
    <font>
      <sz val="7"/>
      <name val="Geneva"/>
    </font>
    <font>
      <sz val="10"/>
      <name val="Arial"/>
      <family val="2"/>
    </font>
    <font>
      <b/>
      <sz val="10"/>
      <name val="Arial"/>
      <family val="2"/>
    </font>
    <font>
      <sz val="11"/>
      <name val="Aptos Narrow"/>
      <family val="2"/>
      <scheme val="minor"/>
    </font>
    <font>
      <sz val="8"/>
      <name val="Geneva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CE43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3" fillId="0" borderId="0" xfId="0" applyFont="1"/>
    <xf numFmtId="164" fontId="3" fillId="2" borderId="0" xfId="0" applyNumberFormat="1" applyFont="1" applyFill="1" applyAlignment="1" applyProtection="1">
      <alignment horizontal="right"/>
      <protection locked="0"/>
    </xf>
    <xf numFmtId="165" fontId="3" fillId="0" borderId="0" xfId="0" applyNumberFormat="1" applyFont="1" applyAlignment="1">
      <alignment horizontal="right"/>
    </xf>
    <xf numFmtId="0" fontId="4" fillId="0" borderId="1" xfId="0" applyFont="1" applyBorder="1"/>
    <xf numFmtId="164" fontId="3" fillId="2" borderId="1" xfId="0" applyNumberFormat="1" applyFont="1" applyFill="1" applyBorder="1" applyAlignment="1" applyProtection="1">
      <alignment horizontal="right"/>
      <protection locked="0"/>
    </xf>
    <xf numFmtId="164" fontId="3" fillId="0" borderId="0" xfId="0" applyNumberFormat="1" applyFont="1" applyAlignment="1">
      <alignment horizontal="right"/>
    </xf>
    <xf numFmtId="0" fontId="4" fillId="0" borderId="0" xfId="0" applyFont="1"/>
    <xf numFmtId="2" fontId="3" fillId="0" borderId="0" xfId="0" applyNumberFormat="1" applyFont="1"/>
    <xf numFmtId="164" fontId="3" fillId="0" borderId="0" xfId="0" applyNumberFormat="1" applyFont="1"/>
    <xf numFmtId="164" fontId="3" fillId="3" borderId="2" xfId="0" applyNumberFormat="1" applyFont="1" applyFill="1" applyBorder="1" applyAlignment="1" applyProtection="1">
      <alignment horizontal="right"/>
      <protection locked="0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3" borderId="2" xfId="0" applyFill="1" applyBorder="1"/>
    <xf numFmtId="164" fontId="3" fillId="0" borderId="1" xfId="0" applyNumberFormat="1" applyFont="1" applyBorder="1" applyAlignment="1" applyProtection="1">
      <alignment horizontal="right"/>
      <protection locked="0"/>
    </xf>
    <xf numFmtId="164" fontId="7" fillId="4" borderId="0" xfId="0" applyNumberFormat="1" applyFont="1" applyFill="1"/>
    <xf numFmtId="0" fontId="3" fillId="0" borderId="3" xfId="0" applyFont="1" applyBorder="1"/>
    <xf numFmtId="164" fontId="3" fillId="0" borderId="3" xfId="0" applyNumberFormat="1" applyFont="1" applyBorder="1" applyProtection="1">
      <protection locked="0"/>
    </xf>
    <xf numFmtId="164" fontId="3" fillId="0" borderId="0" xfId="0" applyNumberFormat="1" applyFont="1" applyProtection="1">
      <protection locked="0"/>
    </xf>
    <xf numFmtId="166" fontId="3" fillId="0" borderId="0" xfId="0" applyNumberFormat="1" applyFont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4C8F5-7FB2-417C-A914-D5D7F17C485F}">
  <dimension ref="B1:AA39"/>
  <sheetViews>
    <sheetView tabSelected="1" workbookViewId="0">
      <selection activeCell="B6" sqref="B6"/>
    </sheetView>
  </sheetViews>
  <sheetFormatPr defaultRowHeight="14.4"/>
  <cols>
    <col min="2" max="2" width="32.88671875" customWidth="1"/>
    <col min="3" max="3" width="19.6640625" customWidth="1"/>
    <col min="4" max="4" width="15.6640625" style="2" customWidth="1"/>
    <col min="6" max="6" width="12.33203125" customWidth="1"/>
    <col min="8" max="8" width="12.6640625" customWidth="1"/>
    <col min="10" max="10" width="13.109375" customWidth="1"/>
    <col min="12" max="12" width="10.88671875" customWidth="1"/>
    <col min="18" max="18" width="16.5546875" customWidth="1"/>
    <col min="19" max="19" width="18.44140625" customWidth="1"/>
    <col min="20" max="20" width="14.88671875" customWidth="1"/>
    <col min="258" max="258" width="23.33203125" customWidth="1"/>
    <col min="259" max="259" width="19.6640625" customWidth="1"/>
    <col min="260" max="260" width="15.6640625" customWidth="1"/>
    <col min="268" max="268" width="10.88671875" customWidth="1"/>
    <col min="274" max="274" width="16.5546875" customWidth="1"/>
    <col min="275" max="275" width="18.44140625" customWidth="1"/>
    <col min="276" max="276" width="14.88671875" customWidth="1"/>
    <col min="514" max="514" width="23.33203125" customWidth="1"/>
    <col min="515" max="515" width="19.6640625" customWidth="1"/>
    <col min="516" max="516" width="15.6640625" customWidth="1"/>
    <col min="524" max="524" width="10.88671875" customWidth="1"/>
    <col min="530" max="530" width="16.5546875" customWidth="1"/>
    <col min="531" max="531" width="18.44140625" customWidth="1"/>
    <col min="532" max="532" width="14.88671875" customWidth="1"/>
    <col min="770" max="770" width="23.33203125" customWidth="1"/>
    <col min="771" max="771" width="19.6640625" customWidth="1"/>
    <col min="772" max="772" width="15.6640625" customWidth="1"/>
    <col min="780" max="780" width="10.88671875" customWidth="1"/>
    <col min="786" max="786" width="16.5546875" customWidth="1"/>
    <col min="787" max="787" width="18.44140625" customWidth="1"/>
    <col min="788" max="788" width="14.88671875" customWidth="1"/>
    <col min="1026" max="1026" width="23.33203125" customWidth="1"/>
    <col min="1027" max="1027" width="19.6640625" customWidth="1"/>
    <col min="1028" max="1028" width="15.6640625" customWidth="1"/>
    <col min="1036" max="1036" width="10.88671875" customWidth="1"/>
    <col min="1042" max="1042" width="16.5546875" customWidth="1"/>
    <col min="1043" max="1043" width="18.44140625" customWidth="1"/>
    <col min="1044" max="1044" width="14.88671875" customWidth="1"/>
    <col min="1282" max="1282" width="23.33203125" customWidth="1"/>
    <col min="1283" max="1283" width="19.6640625" customWidth="1"/>
    <col min="1284" max="1284" width="15.6640625" customWidth="1"/>
    <col min="1292" max="1292" width="10.88671875" customWidth="1"/>
    <col min="1298" max="1298" width="16.5546875" customWidth="1"/>
    <col min="1299" max="1299" width="18.44140625" customWidth="1"/>
    <col min="1300" max="1300" width="14.88671875" customWidth="1"/>
    <col min="1538" max="1538" width="23.33203125" customWidth="1"/>
    <col min="1539" max="1539" width="19.6640625" customWidth="1"/>
    <col min="1540" max="1540" width="15.6640625" customWidth="1"/>
    <col min="1548" max="1548" width="10.88671875" customWidth="1"/>
    <col min="1554" max="1554" width="16.5546875" customWidth="1"/>
    <col min="1555" max="1555" width="18.44140625" customWidth="1"/>
    <col min="1556" max="1556" width="14.88671875" customWidth="1"/>
    <col min="1794" max="1794" width="23.33203125" customWidth="1"/>
    <col min="1795" max="1795" width="19.6640625" customWidth="1"/>
    <col min="1796" max="1796" width="15.6640625" customWidth="1"/>
    <col min="1804" max="1804" width="10.88671875" customWidth="1"/>
    <col min="1810" max="1810" width="16.5546875" customWidth="1"/>
    <col min="1811" max="1811" width="18.44140625" customWidth="1"/>
    <col min="1812" max="1812" width="14.88671875" customWidth="1"/>
    <col min="2050" max="2050" width="23.33203125" customWidth="1"/>
    <col min="2051" max="2051" width="19.6640625" customWidth="1"/>
    <col min="2052" max="2052" width="15.6640625" customWidth="1"/>
    <col min="2060" max="2060" width="10.88671875" customWidth="1"/>
    <col min="2066" max="2066" width="16.5546875" customWidth="1"/>
    <col min="2067" max="2067" width="18.44140625" customWidth="1"/>
    <col min="2068" max="2068" width="14.88671875" customWidth="1"/>
    <col min="2306" max="2306" width="23.33203125" customWidth="1"/>
    <col min="2307" max="2307" width="19.6640625" customWidth="1"/>
    <col min="2308" max="2308" width="15.6640625" customWidth="1"/>
    <col min="2316" max="2316" width="10.88671875" customWidth="1"/>
    <col min="2322" max="2322" width="16.5546875" customWidth="1"/>
    <col min="2323" max="2323" width="18.44140625" customWidth="1"/>
    <col min="2324" max="2324" width="14.88671875" customWidth="1"/>
    <col min="2562" max="2562" width="23.33203125" customWidth="1"/>
    <col min="2563" max="2563" width="19.6640625" customWidth="1"/>
    <col min="2564" max="2564" width="15.6640625" customWidth="1"/>
    <col min="2572" max="2572" width="10.88671875" customWidth="1"/>
    <col min="2578" max="2578" width="16.5546875" customWidth="1"/>
    <col min="2579" max="2579" width="18.44140625" customWidth="1"/>
    <col min="2580" max="2580" width="14.88671875" customWidth="1"/>
    <col min="2818" max="2818" width="23.33203125" customWidth="1"/>
    <col min="2819" max="2819" width="19.6640625" customWidth="1"/>
    <col min="2820" max="2820" width="15.6640625" customWidth="1"/>
    <col min="2828" max="2828" width="10.88671875" customWidth="1"/>
    <col min="2834" max="2834" width="16.5546875" customWidth="1"/>
    <col min="2835" max="2835" width="18.44140625" customWidth="1"/>
    <col min="2836" max="2836" width="14.88671875" customWidth="1"/>
    <col min="3074" max="3074" width="23.33203125" customWidth="1"/>
    <col min="3075" max="3075" width="19.6640625" customWidth="1"/>
    <col min="3076" max="3076" width="15.6640625" customWidth="1"/>
    <col min="3084" max="3084" width="10.88671875" customWidth="1"/>
    <col min="3090" max="3090" width="16.5546875" customWidth="1"/>
    <col min="3091" max="3091" width="18.44140625" customWidth="1"/>
    <col min="3092" max="3092" width="14.88671875" customWidth="1"/>
    <col min="3330" max="3330" width="23.33203125" customWidth="1"/>
    <col min="3331" max="3331" width="19.6640625" customWidth="1"/>
    <col min="3332" max="3332" width="15.6640625" customWidth="1"/>
    <col min="3340" max="3340" width="10.88671875" customWidth="1"/>
    <col min="3346" max="3346" width="16.5546875" customWidth="1"/>
    <col min="3347" max="3347" width="18.44140625" customWidth="1"/>
    <col min="3348" max="3348" width="14.88671875" customWidth="1"/>
    <col min="3586" max="3586" width="23.33203125" customWidth="1"/>
    <col min="3587" max="3587" width="19.6640625" customWidth="1"/>
    <col min="3588" max="3588" width="15.6640625" customWidth="1"/>
    <col min="3596" max="3596" width="10.88671875" customWidth="1"/>
    <col min="3602" max="3602" width="16.5546875" customWidth="1"/>
    <col min="3603" max="3603" width="18.44140625" customWidth="1"/>
    <col min="3604" max="3604" width="14.88671875" customWidth="1"/>
    <col min="3842" max="3842" width="23.33203125" customWidth="1"/>
    <col min="3843" max="3843" width="19.6640625" customWidth="1"/>
    <col min="3844" max="3844" width="15.6640625" customWidth="1"/>
    <col min="3852" max="3852" width="10.88671875" customWidth="1"/>
    <col min="3858" max="3858" width="16.5546875" customWidth="1"/>
    <col min="3859" max="3859" width="18.44140625" customWidth="1"/>
    <col min="3860" max="3860" width="14.88671875" customWidth="1"/>
    <col min="4098" max="4098" width="23.33203125" customWidth="1"/>
    <col min="4099" max="4099" width="19.6640625" customWidth="1"/>
    <col min="4100" max="4100" width="15.6640625" customWidth="1"/>
    <col min="4108" max="4108" width="10.88671875" customWidth="1"/>
    <col min="4114" max="4114" width="16.5546875" customWidth="1"/>
    <col min="4115" max="4115" width="18.44140625" customWidth="1"/>
    <col min="4116" max="4116" width="14.88671875" customWidth="1"/>
    <col min="4354" max="4354" width="23.33203125" customWidth="1"/>
    <col min="4355" max="4355" width="19.6640625" customWidth="1"/>
    <col min="4356" max="4356" width="15.6640625" customWidth="1"/>
    <col min="4364" max="4364" width="10.88671875" customWidth="1"/>
    <col min="4370" max="4370" width="16.5546875" customWidth="1"/>
    <col min="4371" max="4371" width="18.44140625" customWidth="1"/>
    <col min="4372" max="4372" width="14.88671875" customWidth="1"/>
    <col min="4610" max="4610" width="23.33203125" customWidth="1"/>
    <col min="4611" max="4611" width="19.6640625" customWidth="1"/>
    <col min="4612" max="4612" width="15.6640625" customWidth="1"/>
    <col min="4620" max="4620" width="10.88671875" customWidth="1"/>
    <col min="4626" max="4626" width="16.5546875" customWidth="1"/>
    <col min="4627" max="4627" width="18.44140625" customWidth="1"/>
    <col min="4628" max="4628" width="14.88671875" customWidth="1"/>
    <col min="4866" max="4866" width="23.33203125" customWidth="1"/>
    <col min="4867" max="4867" width="19.6640625" customWidth="1"/>
    <col min="4868" max="4868" width="15.6640625" customWidth="1"/>
    <col min="4876" max="4876" width="10.88671875" customWidth="1"/>
    <col min="4882" max="4882" width="16.5546875" customWidth="1"/>
    <col min="4883" max="4883" width="18.44140625" customWidth="1"/>
    <col min="4884" max="4884" width="14.88671875" customWidth="1"/>
    <col min="5122" max="5122" width="23.33203125" customWidth="1"/>
    <col min="5123" max="5123" width="19.6640625" customWidth="1"/>
    <col min="5124" max="5124" width="15.6640625" customWidth="1"/>
    <col min="5132" max="5132" width="10.88671875" customWidth="1"/>
    <col min="5138" max="5138" width="16.5546875" customWidth="1"/>
    <col min="5139" max="5139" width="18.44140625" customWidth="1"/>
    <col min="5140" max="5140" width="14.88671875" customWidth="1"/>
    <col min="5378" max="5378" width="23.33203125" customWidth="1"/>
    <col min="5379" max="5379" width="19.6640625" customWidth="1"/>
    <col min="5380" max="5380" width="15.6640625" customWidth="1"/>
    <col min="5388" max="5388" width="10.88671875" customWidth="1"/>
    <col min="5394" max="5394" width="16.5546875" customWidth="1"/>
    <col min="5395" max="5395" width="18.44140625" customWidth="1"/>
    <col min="5396" max="5396" width="14.88671875" customWidth="1"/>
    <col min="5634" max="5634" width="23.33203125" customWidth="1"/>
    <col min="5635" max="5635" width="19.6640625" customWidth="1"/>
    <col min="5636" max="5636" width="15.6640625" customWidth="1"/>
    <col min="5644" max="5644" width="10.88671875" customWidth="1"/>
    <col min="5650" max="5650" width="16.5546875" customWidth="1"/>
    <col min="5651" max="5651" width="18.44140625" customWidth="1"/>
    <col min="5652" max="5652" width="14.88671875" customWidth="1"/>
    <col min="5890" max="5890" width="23.33203125" customWidth="1"/>
    <col min="5891" max="5891" width="19.6640625" customWidth="1"/>
    <col min="5892" max="5892" width="15.6640625" customWidth="1"/>
    <col min="5900" max="5900" width="10.88671875" customWidth="1"/>
    <col min="5906" max="5906" width="16.5546875" customWidth="1"/>
    <col min="5907" max="5907" width="18.44140625" customWidth="1"/>
    <col min="5908" max="5908" width="14.88671875" customWidth="1"/>
    <col min="6146" max="6146" width="23.33203125" customWidth="1"/>
    <col min="6147" max="6147" width="19.6640625" customWidth="1"/>
    <col min="6148" max="6148" width="15.6640625" customWidth="1"/>
    <col min="6156" max="6156" width="10.88671875" customWidth="1"/>
    <col min="6162" max="6162" width="16.5546875" customWidth="1"/>
    <col min="6163" max="6163" width="18.44140625" customWidth="1"/>
    <col min="6164" max="6164" width="14.88671875" customWidth="1"/>
    <col min="6402" max="6402" width="23.33203125" customWidth="1"/>
    <col min="6403" max="6403" width="19.6640625" customWidth="1"/>
    <col min="6404" max="6404" width="15.6640625" customWidth="1"/>
    <col min="6412" max="6412" width="10.88671875" customWidth="1"/>
    <col min="6418" max="6418" width="16.5546875" customWidth="1"/>
    <col min="6419" max="6419" width="18.44140625" customWidth="1"/>
    <col min="6420" max="6420" width="14.88671875" customWidth="1"/>
    <col min="6658" max="6658" width="23.33203125" customWidth="1"/>
    <col min="6659" max="6659" width="19.6640625" customWidth="1"/>
    <col min="6660" max="6660" width="15.6640625" customWidth="1"/>
    <col min="6668" max="6668" width="10.88671875" customWidth="1"/>
    <col min="6674" max="6674" width="16.5546875" customWidth="1"/>
    <col min="6675" max="6675" width="18.44140625" customWidth="1"/>
    <col min="6676" max="6676" width="14.88671875" customWidth="1"/>
    <col min="6914" max="6914" width="23.33203125" customWidth="1"/>
    <col min="6915" max="6915" width="19.6640625" customWidth="1"/>
    <col min="6916" max="6916" width="15.6640625" customWidth="1"/>
    <col min="6924" max="6924" width="10.88671875" customWidth="1"/>
    <col min="6930" max="6930" width="16.5546875" customWidth="1"/>
    <col min="6931" max="6931" width="18.44140625" customWidth="1"/>
    <col min="6932" max="6932" width="14.88671875" customWidth="1"/>
    <col min="7170" max="7170" width="23.33203125" customWidth="1"/>
    <col min="7171" max="7171" width="19.6640625" customWidth="1"/>
    <col min="7172" max="7172" width="15.6640625" customWidth="1"/>
    <col min="7180" max="7180" width="10.88671875" customWidth="1"/>
    <col min="7186" max="7186" width="16.5546875" customWidth="1"/>
    <col min="7187" max="7187" width="18.44140625" customWidth="1"/>
    <col min="7188" max="7188" width="14.88671875" customWidth="1"/>
    <col min="7426" max="7426" width="23.33203125" customWidth="1"/>
    <col min="7427" max="7427" width="19.6640625" customWidth="1"/>
    <col min="7428" max="7428" width="15.6640625" customWidth="1"/>
    <col min="7436" max="7436" width="10.88671875" customWidth="1"/>
    <col min="7442" max="7442" width="16.5546875" customWidth="1"/>
    <col min="7443" max="7443" width="18.44140625" customWidth="1"/>
    <col min="7444" max="7444" width="14.88671875" customWidth="1"/>
    <col min="7682" max="7682" width="23.33203125" customWidth="1"/>
    <col min="7683" max="7683" width="19.6640625" customWidth="1"/>
    <col min="7684" max="7684" width="15.6640625" customWidth="1"/>
    <col min="7692" max="7692" width="10.88671875" customWidth="1"/>
    <col min="7698" max="7698" width="16.5546875" customWidth="1"/>
    <col min="7699" max="7699" width="18.44140625" customWidth="1"/>
    <col min="7700" max="7700" width="14.88671875" customWidth="1"/>
    <col min="7938" max="7938" width="23.33203125" customWidth="1"/>
    <col min="7939" max="7939" width="19.6640625" customWidth="1"/>
    <col min="7940" max="7940" width="15.6640625" customWidth="1"/>
    <col min="7948" max="7948" width="10.88671875" customWidth="1"/>
    <col min="7954" max="7954" width="16.5546875" customWidth="1"/>
    <col min="7955" max="7955" width="18.44140625" customWidth="1"/>
    <col min="7956" max="7956" width="14.88671875" customWidth="1"/>
    <col min="8194" max="8194" width="23.33203125" customWidth="1"/>
    <col min="8195" max="8195" width="19.6640625" customWidth="1"/>
    <col min="8196" max="8196" width="15.6640625" customWidth="1"/>
    <col min="8204" max="8204" width="10.88671875" customWidth="1"/>
    <col min="8210" max="8210" width="16.5546875" customWidth="1"/>
    <col min="8211" max="8211" width="18.44140625" customWidth="1"/>
    <col min="8212" max="8212" width="14.88671875" customWidth="1"/>
    <col min="8450" max="8450" width="23.33203125" customWidth="1"/>
    <col min="8451" max="8451" width="19.6640625" customWidth="1"/>
    <col min="8452" max="8452" width="15.6640625" customWidth="1"/>
    <col min="8460" max="8460" width="10.88671875" customWidth="1"/>
    <col min="8466" max="8466" width="16.5546875" customWidth="1"/>
    <col min="8467" max="8467" width="18.44140625" customWidth="1"/>
    <col min="8468" max="8468" width="14.88671875" customWidth="1"/>
    <col min="8706" max="8706" width="23.33203125" customWidth="1"/>
    <col min="8707" max="8707" width="19.6640625" customWidth="1"/>
    <col min="8708" max="8708" width="15.6640625" customWidth="1"/>
    <col min="8716" max="8716" width="10.88671875" customWidth="1"/>
    <col min="8722" max="8722" width="16.5546875" customWidth="1"/>
    <col min="8723" max="8723" width="18.44140625" customWidth="1"/>
    <col min="8724" max="8724" width="14.88671875" customWidth="1"/>
    <col min="8962" max="8962" width="23.33203125" customWidth="1"/>
    <col min="8963" max="8963" width="19.6640625" customWidth="1"/>
    <col min="8964" max="8964" width="15.6640625" customWidth="1"/>
    <col min="8972" max="8972" width="10.88671875" customWidth="1"/>
    <col min="8978" max="8978" width="16.5546875" customWidth="1"/>
    <col min="8979" max="8979" width="18.44140625" customWidth="1"/>
    <col min="8980" max="8980" width="14.88671875" customWidth="1"/>
    <col min="9218" max="9218" width="23.33203125" customWidth="1"/>
    <col min="9219" max="9219" width="19.6640625" customWidth="1"/>
    <col min="9220" max="9220" width="15.6640625" customWidth="1"/>
    <col min="9228" max="9228" width="10.88671875" customWidth="1"/>
    <col min="9234" max="9234" width="16.5546875" customWidth="1"/>
    <col min="9235" max="9235" width="18.44140625" customWidth="1"/>
    <col min="9236" max="9236" width="14.88671875" customWidth="1"/>
    <col min="9474" max="9474" width="23.33203125" customWidth="1"/>
    <col min="9475" max="9475" width="19.6640625" customWidth="1"/>
    <col min="9476" max="9476" width="15.6640625" customWidth="1"/>
    <col min="9484" max="9484" width="10.88671875" customWidth="1"/>
    <col min="9490" max="9490" width="16.5546875" customWidth="1"/>
    <col min="9491" max="9491" width="18.44140625" customWidth="1"/>
    <col min="9492" max="9492" width="14.88671875" customWidth="1"/>
    <col min="9730" max="9730" width="23.33203125" customWidth="1"/>
    <col min="9731" max="9731" width="19.6640625" customWidth="1"/>
    <col min="9732" max="9732" width="15.6640625" customWidth="1"/>
    <col min="9740" max="9740" width="10.88671875" customWidth="1"/>
    <col min="9746" max="9746" width="16.5546875" customWidth="1"/>
    <col min="9747" max="9747" width="18.44140625" customWidth="1"/>
    <col min="9748" max="9748" width="14.88671875" customWidth="1"/>
    <col min="9986" max="9986" width="23.33203125" customWidth="1"/>
    <col min="9987" max="9987" width="19.6640625" customWidth="1"/>
    <col min="9988" max="9988" width="15.6640625" customWidth="1"/>
    <col min="9996" max="9996" width="10.88671875" customWidth="1"/>
    <col min="10002" max="10002" width="16.5546875" customWidth="1"/>
    <col min="10003" max="10003" width="18.44140625" customWidth="1"/>
    <col min="10004" max="10004" width="14.88671875" customWidth="1"/>
    <col min="10242" max="10242" width="23.33203125" customWidth="1"/>
    <col min="10243" max="10243" width="19.6640625" customWidth="1"/>
    <col min="10244" max="10244" width="15.6640625" customWidth="1"/>
    <col min="10252" max="10252" width="10.88671875" customWidth="1"/>
    <col min="10258" max="10258" width="16.5546875" customWidth="1"/>
    <col min="10259" max="10259" width="18.44140625" customWidth="1"/>
    <col min="10260" max="10260" width="14.88671875" customWidth="1"/>
    <col min="10498" max="10498" width="23.33203125" customWidth="1"/>
    <col min="10499" max="10499" width="19.6640625" customWidth="1"/>
    <col min="10500" max="10500" width="15.6640625" customWidth="1"/>
    <col min="10508" max="10508" width="10.88671875" customWidth="1"/>
    <col min="10514" max="10514" width="16.5546875" customWidth="1"/>
    <col min="10515" max="10515" width="18.44140625" customWidth="1"/>
    <col min="10516" max="10516" width="14.88671875" customWidth="1"/>
    <col min="10754" max="10754" width="23.33203125" customWidth="1"/>
    <col min="10755" max="10755" width="19.6640625" customWidth="1"/>
    <col min="10756" max="10756" width="15.6640625" customWidth="1"/>
    <col min="10764" max="10764" width="10.88671875" customWidth="1"/>
    <col min="10770" max="10770" width="16.5546875" customWidth="1"/>
    <col min="10771" max="10771" width="18.44140625" customWidth="1"/>
    <col min="10772" max="10772" width="14.88671875" customWidth="1"/>
    <col min="11010" max="11010" width="23.33203125" customWidth="1"/>
    <col min="11011" max="11011" width="19.6640625" customWidth="1"/>
    <col min="11012" max="11012" width="15.6640625" customWidth="1"/>
    <col min="11020" max="11020" width="10.88671875" customWidth="1"/>
    <col min="11026" max="11026" width="16.5546875" customWidth="1"/>
    <col min="11027" max="11027" width="18.44140625" customWidth="1"/>
    <col min="11028" max="11028" width="14.88671875" customWidth="1"/>
    <col min="11266" max="11266" width="23.33203125" customWidth="1"/>
    <col min="11267" max="11267" width="19.6640625" customWidth="1"/>
    <col min="11268" max="11268" width="15.6640625" customWidth="1"/>
    <col min="11276" max="11276" width="10.88671875" customWidth="1"/>
    <col min="11282" max="11282" width="16.5546875" customWidth="1"/>
    <col min="11283" max="11283" width="18.44140625" customWidth="1"/>
    <col min="11284" max="11284" width="14.88671875" customWidth="1"/>
    <col min="11522" max="11522" width="23.33203125" customWidth="1"/>
    <col min="11523" max="11523" width="19.6640625" customWidth="1"/>
    <col min="11524" max="11524" width="15.6640625" customWidth="1"/>
    <col min="11532" max="11532" width="10.88671875" customWidth="1"/>
    <col min="11538" max="11538" width="16.5546875" customWidth="1"/>
    <col min="11539" max="11539" width="18.44140625" customWidth="1"/>
    <col min="11540" max="11540" width="14.88671875" customWidth="1"/>
    <col min="11778" max="11778" width="23.33203125" customWidth="1"/>
    <col min="11779" max="11779" width="19.6640625" customWidth="1"/>
    <col min="11780" max="11780" width="15.6640625" customWidth="1"/>
    <col min="11788" max="11788" width="10.88671875" customWidth="1"/>
    <col min="11794" max="11794" width="16.5546875" customWidth="1"/>
    <col min="11795" max="11795" width="18.44140625" customWidth="1"/>
    <col min="11796" max="11796" width="14.88671875" customWidth="1"/>
    <col min="12034" max="12034" width="23.33203125" customWidth="1"/>
    <col min="12035" max="12035" width="19.6640625" customWidth="1"/>
    <col min="12036" max="12036" width="15.6640625" customWidth="1"/>
    <col min="12044" max="12044" width="10.88671875" customWidth="1"/>
    <col min="12050" max="12050" width="16.5546875" customWidth="1"/>
    <col min="12051" max="12051" width="18.44140625" customWidth="1"/>
    <col min="12052" max="12052" width="14.88671875" customWidth="1"/>
    <col min="12290" max="12290" width="23.33203125" customWidth="1"/>
    <col min="12291" max="12291" width="19.6640625" customWidth="1"/>
    <col min="12292" max="12292" width="15.6640625" customWidth="1"/>
    <col min="12300" max="12300" width="10.88671875" customWidth="1"/>
    <col min="12306" max="12306" width="16.5546875" customWidth="1"/>
    <col min="12307" max="12307" width="18.44140625" customWidth="1"/>
    <col min="12308" max="12308" width="14.88671875" customWidth="1"/>
    <col min="12546" max="12546" width="23.33203125" customWidth="1"/>
    <col min="12547" max="12547" width="19.6640625" customWidth="1"/>
    <col min="12548" max="12548" width="15.6640625" customWidth="1"/>
    <col min="12556" max="12556" width="10.88671875" customWidth="1"/>
    <col min="12562" max="12562" width="16.5546875" customWidth="1"/>
    <col min="12563" max="12563" width="18.44140625" customWidth="1"/>
    <col min="12564" max="12564" width="14.88671875" customWidth="1"/>
    <col min="12802" max="12802" width="23.33203125" customWidth="1"/>
    <col min="12803" max="12803" width="19.6640625" customWidth="1"/>
    <col min="12804" max="12804" width="15.6640625" customWidth="1"/>
    <col min="12812" max="12812" width="10.88671875" customWidth="1"/>
    <col min="12818" max="12818" width="16.5546875" customWidth="1"/>
    <col min="12819" max="12819" width="18.44140625" customWidth="1"/>
    <col min="12820" max="12820" width="14.88671875" customWidth="1"/>
    <col min="13058" max="13058" width="23.33203125" customWidth="1"/>
    <col min="13059" max="13059" width="19.6640625" customWidth="1"/>
    <col min="13060" max="13060" width="15.6640625" customWidth="1"/>
    <col min="13068" max="13068" width="10.88671875" customWidth="1"/>
    <col min="13074" max="13074" width="16.5546875" customWidth="1"/>
    <col min="13075" max="13075" width="18.44140625" customWidth="1"/>
    <col min="13076" max="13076" width="14.88671875" customWidth="1"/>
    <col min="13314" max="13314" width="23.33203125" customWidth="1"/>
    <col min="13315" max="13315" width="19.6640625" customWidth="1"/>
    <col min="13316" max="13316" width="15.6640625" customWidth="1"/>
    <col min="13324" max="13324" width="10.88671875" customWidth="1"/>
    <col min="13330" max="13330" width="16.5546875" customWidth="1"/>
    <col min="13331" max="13331" width="18.44140625" customWidth="1"/>
    <col min="13332" max="13332" width="14.88671875" customWidth="1"/>
    <col min="13570" max="13570" width="23.33203125" customWidth="1"/>
    <col min="13571" max="13571" width="19.6640625" customWidth="1"/>
    <col min="13572" max="13572" width="15.6640625" customWidth="1"/>
    <col min="13580" max="13580" width="10.88671875" customWidth="1"/>
    <col min="13586" max="13586" width="16.5546875" customWidth="1"/>
    <col min="13587" max="13587" width="18.44140625" customWidth="1"/>
    <col min="13588" max="13588" width="14.88671875" customWidth="1"/>
    <col min="13826" max="13826" width="23.33203125" customWidth="1"/>
    <col min="13827" max="13827" width="19.6640625" customWidth="1"/>
    <col min="13828" max="13828" width="15.6640625" customWidth="1"/>
    <col min="13836" max="13836" width="10.88671875" customWidth="1"/>
    <col min="13842" max="13842" width="16.5546875" customWidth="1"/>
    <col min="13843" max="13843" width="18.44140625" customWidth="1"/>
    <col min="13844" max="13844" width="14.88671875" customWidth="1"/>
    <col min="14082" max="14082" width="23.33203125" customWidth="1"/>
    <col min="14083" max="14083" width="19.6640625" customWidth="1"/>
    <col min="14084" max="14084" width="15.6640625" customWidth="1"/>
    <col min="14092" max="14092" width="10.88671875" customWidth="1"/>
    <col min="14098" max="14098" width="16.5546875" customWidth="1"/>
    <col min="14099" max="14099" width="18.44140625" customWidth="1"/>
    <col min="14100" max="14100" width="14.88671875" customWidth="1"/>
    <col min="14338" max="14338" width="23.33203125" customWidth="1"/>
    <col min="14339" max="14339" width="19.6640625" customWidth="1"/>
    <col min="14340" max="14340" width="15.6640625" customWidth="1"/>
    <col min="14348" max="14348" width="10.88671875" customWidth="1"/>
    <col min="14354" max="14354" width="16.5546875" customWidth="1"/>
    <col min="14355" max="14355" width="18.44140625" customWidth="1"/>
    <col min="14356" max="14356" width="14.88671875" customWidth="1"/>
    <col min="14594" max="14594" width="23.33203125" customWidth="1"/>
    <col min="14595" max="14595" width="19.6640625" customWidth="1"/>
    <col min="14596" max="14596" width="15.6640625" customWidth="1"/>
    <col min="14604" max="14604" width="10.88671875" customWidth="1"/>
    <col min="14610" max="14610" width="16.5546875" customWidth="1"/>
    <col min="14611" max="14611" width="18.44140625" customWidth="1"/>
    <col min="14612" max="14612" width="14.88671875" customWidth="1"/>
    <col min="14850" max="14850" width="23.33203125" customWidth="1"/>
    <col min="14851" max="14851" width="19.6640625" customWidth="1"/>
    <col min="14852" max="14852" width="15.6640625" customWidth="1"/>
    <col min="14860" max="14860" width="10.88671875" customWidth="1"/>
    <col min="14866" max="14866" width="16.5546875" customWidth="1"/>
    <col min="14867" max="14867" width="18.44140625" customWidth="1"/>
    <col min="14868" max="14868" width="14.88671875" customWidth="1"/>
    <col min="15106" max="15106" width="23.33203125" customWidth="1"/>
    <col min="15107" max="15107" width="19.6640625" customWidth="1"/>
    <col min="15108" max="15108" width="15.6640625" customWidth="1"/>
    <col min="15116" max="15116" width="10.88671875" customWidth="1"/>
    <col min="15122" max="15122" width="16.5546875" customWidth="1"/>
    <col min="15123" max="15123" width="18.44140625" customWidth="1"/>
    <col min="15124" max="15124" width="14.88671875" customWidth="1"/>
    <col min="15362" max="15362" width="23.33203125" customWidth="1"/>
    <col min="15363" max="15363" width="19.6640625" customWidth="1"/>
    <col min="15364" max="15364" width="15.6640625" customWidth="1"/>
    <col min="15372" max="15372" width="10.88671875" customWidth="1"/>
    <col min="15378" max="15378" width="16.5546875" customWidth="1"/>
    <col min="15379" max="15379" width="18.44140625" customWidth="1"/>
    <col min="15380" max="15380" width="14.88671875" customWidth="1"/>
    <col min="15618" max="15618" width="23.33203125" customWidth="1"/>
    <col min="15619" max="15619" width="19.6640625" customWidth="1"/>
    <col min="15620" max="15620" width="15.6640625" customWidth="1"/>
    <col min="15628" max="15628" width="10.88671875" customWidth="1"/>
    <col min="15634" max="15634" width="16.5546875" customWidth="1"/>
    <col min="15635" max="15635" width="18.44140625" customWidth="1"/>
    <col min="15636" max="15636" width="14.88671875" customWidth="1"/>
    <col min="15874" max="15874" width="23.33203125" customWidth="1"/>
    <col min="15875" max="15875" width="19.6640625" customWidth="1"/>
    <col min="15876" max="15876" width="15.6640625" customWidth="1"/>
    <col min="15884" max="15884" width="10.88671875" customWidth="1"/>
    <col min="15890" max="15890" width="16.5546875" customWidth="1"/>
    <col min="15891" max="15891" width="18.44140625" customWidth="1"/>
    <col min="15892" max="15892" width="14.88671875" customWidth="1"/>
    <col min="16130" max="16130" width="23.33203125" customWidth="1"/>
    <col min="16131" max="16131" width="19.6640625" customWidth="1"/>
    <col min="16132" max="16132" width="15.6640625" customWidth="1"/>
    <col min="16140" max="16140" width="10.88671875" customWidth="1"/>
    <col min="16146" max="16146" width="16.5546875" customWidth="1"/>
    <col min="16147" max="16147" width="18.44140625" customWidth="1"/>
    <col min="16148" max="16148" width="14.88671875" customWidth="1"/>
  </cols>
  <sheetData>
    <row r="1" spans="2:27" ht="18">
      <c r="B1" s="1" t="s">
        <v>0</v>
      </c>
    </row>
    <row r="2" spans="2:27" s="4" customFormat="1">
      <c r="B2" s="3" t="s">
        <v>1</v>
      </c>
      <c r="C2" s="4" t="s">
        <v>2</v>
      </c>
      <c r="D2" s="5">
        <v>1013</v>
      </c>
      <c r="E2" s="4" t="s">
        <v>3</v>
      </c>
      <c r="F2" s="6"/>
      <c r="H2" s="6"/>
      <c r="J2" s="6"/>
      <c r="L2" s="6"/>
      <c r="N2" s="6"/>
      <c r="S2" s="4" t="s">
        <v>4</v>
      </c>
      <c r="U2" s="4" t="s">
        <v>5</v>
      </c>
      <c r="V2" s="4" t="s">
        <v>6</v>
      </c>
      <c r="W2" s="4" t="s">
        <v>7</v>
      </c>
      <c r="X2" s="4" t="s">
        <v>8</v>
      </c>
      <c r="Y2"/>
      <c r="Z2"/>
    </row>
    <row r="3" spans="2:27" s="4" customFormat="1">
      <c r="B3" s="7"/>
      <c r="C3" s="4" t="s">
        <v>9</v>
      </c>
      <c r="D3" s="8">
        <v>25</v>
      </c>
      <c r="E3" s="4" t="s">
        <v>10</v>
      </c>
      <c r="F3" s="9">
        <f>1-(0.0001*(SQRT((0.1*$D$3)+1)+4))</f>
        <v>0.99941291713066127</v>
      </c>
      <c r="G3" s="4" t="s">
        <v>11</v>
      </c>
      <c r="H3" s="9">
        <f>6.1078*EXP(17.08085*D3/(234.175+D3))</f>
        <v>31.727508570532894</v>
      </c>
      <c r="I3" s="4" t="s">
        <v>12</v>
      </c>
      <c r="J3" s="9">
        <f>(6.1078*EXP(17.08085*D3/(234.175+D3)))*100000/((1-0.0001*(SQRT((0.1*D3)+1)+4))*461.51*(D3+273.15))</f>
        <v>23.071460218869831</v>
      </c>
      <c r="K3" s="4" t="s">
        <v>13</v>
      </c>
      <c r="L3" s="6"/>
      <c r="N3" s="6"/>
      <c r="Z3"/>
      <c r="AA3"/>
    </row>
    <row r="4" spans="2:27" s="4" customFormat="1">
      <c r="B4" s="10"/>
      <c r="C4" s="4" t="s">
        <v>14</v>
      </c>
      <c r="D4" s="8">
        <v>35</v>
      </c>
      <c r="E4" s="4" t="s">
        <v>15</v>
      </c>
      <c r="F4" s="9">
        <f>D4/100*((6.1078*EXP(17.08085*D3/(234.175+D3)))*100000/((1-0.0001*(SQRT((0.1*D3)+1)+4))*461.51*(D3+273.15)))</f>
        <v>8.0750110766044401</v>
      </c>
      <c r="G4" s="4" t="s">
        <v>16</v>
      </c>
      <c r="H4" s="9">
        <f>(1-(0.0001*(SQRT((0.1*D3)+1)+4)))*461.51*(D3+273.15)*F4*0.00001</f>
        <v>11.104627999686512</v>
      </c>
      <c r="I4" s="4" t="s">
        <v>17</v>
      </c>
      <c r="J4" s="9">
        <f>T4*0.1245222</f>
        <v>1.0975547334790632</v>
      </c>
      <c r="K4" s="4" t="s">
        <v>18</v>
      </c>
      <c r="L4" s="9">
        <f>(621.98*H4/(D2-H4))/1000</f>
        <v>6.8937902262741022E-3</v>
      </c>
      <c r="M4" s="4" t="s">
        <v>19</v>
      </c>
      <c r="N4" s="6"/>
      <c r="P4" s="11">
        <f>(234.175*LN(H4/6.1078))/(17.08085-LN(H4/6.1078))</f>
        <v>8.4928868268536064</v>
      </c>
      <c r="Q4" s="4" t="s">
        <v>20</v>
      </c>
      <c r="R4" s="4">
        <f>F4*((D3+273.13)/273.13)</f>
        <v>8.8141289945010861</v>
      </c>
      <c r="S4" s="4" t="s">
        <v>21</v>
      </c>
      <c r="T4" s="4">
        <f>F4*((D3+273.13)/273.13)*(1013/D2)</f>
        <v>8.8141289945010861</v>
      </c>
      <c r="U4" s="4" t="s">
        <v>22</v>
      </c>
      <c r="V4" s="12">
        <f>L4*1000</f>
        <v>6.8937902262741027</v>
      </c>
      <c r="W4" s="4" t="s">
        <v>23</v>
      </c>
      <c r="X4" s="4">
        <f>1000*(V4/(V4+1))</f>
        <v>873.31814358689849</v>
      </c>
      <c r="Y4" s="4" t="s">
        <v>23</v>
      </c>
      <c r="Z4"/>
      <c r="AA4"/>
    </row>
    <row r="5" spans="2:27" s="4" customFormat="1">
      <c r="B5" s="10"/>
      <c r="C5" s="4" t="s">
        <v>24</v>
      </c>
      <c r="D5" s="5">
        <v>86500</v>
      </c>
      <c r="E5" s="4" t="s">
        <v>25</v>
      </c>
      <c r="F5" s="9"/>
      <c r="H5" s="9"/>
      <c r="J5" s="9"/>
      <c r="L5" s="9"/>
      <c r="N5" s="6"/>
      <c r="P5" s="11"/>
      <c r="V5" s="12"/>
      <c r="Z5"/>
      <c r="AA5"/>
    </row>
    <row r="6" spans="2:27" s="4" customFormat="1">
      <c r="B6" s="10"/>
      <c r="C6" s="4" t="s">
        <v>26</v>
      </c>
      <c r="D6" s="13">
        <f>L4</f>
        <v>6.8937902262741022E-3</v>
      </c>
      <c r="F6" s="9"/>
      <c r="H6" s="9"/>
      <c r="J6" s="9"/>
      <c r="L6" s="9"/>
      <c r="N6" s="6"/>
      <c r="P6" s="11"/>
      <c r="V6" s="12"/>
      <c r="Z6"/>
      <c r="AA6"/>
    </row>
    <row r="7" spans="2:27">
      <c r="B7" s="14"/>
      <c r="C7" s="14" t="s">
        <v>27</v>
      </c>
      <c r="D7" s="2">
        <f>(C29/1000)*(D2*100)/(C30*(D3+273.15))</f>
        <v>1.183486120467605</v>
      </c>
      <c r="E7" s="4" t="s">
        <v>28</v>
      </c>
    </row>
    <row r="8" spans="2:27">
      <c r="B8" s="14"/>
      <c r="C8" s="4" t="s">
        <v>29</v>
      </c>
      <c r="D8" s="2">
        <f>(1-(J4/100))*C29+((J4/100)*C28)</f>
        <v>28.840871409228182</v>
      </c>
      <c r="E8" s="4" t="s">
        <v>30</v>
      </c>
    </row>
    <row r="9" spans="2:27">
      <c r="C9" s="4" t="s">
        <v>31</v>
      </c>
      <c r="D9" s="2">
        <f>(D8/1000)*(D2*100)/(C30*(D3+273.15))</f>
        <v>1.17861778366756</v>
      </c>
      <c r="E9" s="4" t="s">
        <v>28</v>
      </c>
      <c r="J9" s="15" t="s">
        <v>32</v>
      </c>
    </row>
    <row r="10" spans="2:27">
      <c r="C10" s="4" t="s">
        <v>33</v>
      </c>
      <c r="D10" s="2">
        <f>D5/D9</f>
        <v>73391.052806647727</v>
      </c>
      <c r="E10" s="4" t="s">
        <v>34</v>
      </c>
      <c r="J10" s="2">
        <f>D3+273.15</f>
        <v>298.14999999999998</v>
      </c>
    </row>
    <row r="11" spans="2:27">
      <c r="C11" s="4" t="s">
        <v>35</v>
      </c>
      <c r="D11" s="8">
        <v>250</v>
      </c>
      <c r="E11" s="4" t="s">
        <v>10</v>
      </c>
      <c r="J11" s="2">
        <f>D11+273.15</f>
        <v>523.15</v>
      </c>
    </row>
    <row r="12" spans="2:27">
      <c r="C12" s="4" t="s">
        <v>36</v>
      </c>
      <c r="D12" s="8">
        <v>90.8</v>
      </c>
      <c r="E12" s="4" t="s">
        <v>10</v>
      </c>
      <c r="F12">
        <f>(D2*D21/(621.98+D21))*1000</f>
        <v>91.197294047289859</v>
      </c>
      <c r="G12" s="14" t="s">
        <v>17</v>
      </c>
      <c r="H12">
        <f>6.1078*EXP(17.08085*D12/(234.175+D12))</f>
        <v>722.02550624621517</v>
      </c>
      <c r="I12" s="14" t="s">
        <v>12</v>
      </c>
      <c r="J12" s="2">
        <f>D12+273.15</f>
        <v>363.95</v>
      </c>
      <c r="L12" s="15" t="s">
        <v>37</v>
      </c>
    </row>
    <row r="13" spans="2:27">
      <c r="C13" s="4" t="s">
        <v>38</v>
      </c>
      <c r="D13" s="2">
        <f>C34*D3+(D6*((L13+(1.86*D3))))</f>
        <v>42.528441531391778</v>
      </c>
      <c r="E13" s="4" t="s">
        <v>39</v>
      </c>
      <c r="L13">
        <f>C36*(((C37-J10)/(C37-C38))^0.38)</f>
        <v>2474.3834271106521</v>
      </c>
    </row>
    <row r="14" spans="2:27">
      <c r="C14" s="4" t="s">
        <v>40</v>
      </c>
      <c r="D14" s="2">
        <f>C34*D11+(D6*((L14+(1.86*D11))))</f>
        <v>266.2164067504815</v>
      </c>
      <c r="E14" s="4" t="s">
        <v>39</v>
      </c>
      <c r="L14">
        <f>C36*(((C37-J11)/(C37-C38))^0.38)</f>
        <v>1669.7337629151093</v>
      </c>
    </row>
    <row r="15" spans="2:27">
      <c r="C15" s="4" t="s">
        <v>41</v>
      </c>
      <c r="D15" s="2">
        <f>C34*D12+(D21*((L15+(1.86*D12))))</f>
        <v>228.79100276792687</v>
      </c>
      <c r="E15" s="4" t="s">
        <v>39</v>
      </c>
      <c r="G15" s="16"/>
      <c r="L15">
        <f>C36*(((C37-J12)/(C37-C38))^0.38)</f>
        <v>2285.5084779986942</v>
      </c>
    </row>
    <row r="16" spans="2:27">
      <c r="C16" s="4" t="s">
        <v>42</v>
      </c>
      <c r="D16" s="2">
        <f>(D14-D13)*D5</f>
        <v>19349008.991451263</v>
      </c>
      <c r="E16" s="4" t="s">
        <v>43</v>
      </c>
    </row>
    <row r="17" spans="2:27">
      <c r="C17" s="4" t="s">
        <v>44</v>
      </c>
      <c r="D17" s="8">
        <v>4728</v>
      </c>
      <c r="E17" s="4" t="s">
        <v>25</v>
      </c>
    </row>
    <row r="18" spans="2:27">
      <c r="C18" s="4" t="s">
        <v>45</v>
      </c>
      <c r="D18" s="17">
        <f>D17-D19</f>
        <v>480.31285457270951</v>
      </c>
      <c r="E18" s="4" t="s">
        <v>25</v>
      </c>
    </row>
    <row r="19" spans="2:27">
      <c r="C19" s="4" t="s">
        <v>46</v>
      </c>
      <c r="D19" s="2">
        <f>(D21-D6)*D5</f>
        <v>4247.6871454272905</v>
      </c>
      <c r="E19" s="4" t="s">
        <v>25</v>
      </c>
    </row>
    <row r="20" spans="2:27">
      <c r="C20" s="4" t="s">
        <v>47</v>
      </c>
      <c r="D20" s="2">
        <f>D19*C33</f>
        <v>9769680.4344827682</v>
      </c>
      <c r="E20" s="4" t="s">
        <v>43</v>
      </c>
    </row>
    <row r="21" spans="2:27">
      <c r="C21" s="4" t="s">
        <v>48</v>
      </c>
      <c r="D21" s="18">
        <v>5.6000000000000001E-2</v>
      </c>
    </row>
    <row r="22" spans="2:27">
      <c r="C22" s="4" t="s">
        <v>49</v>
      </c>
      <c r="D22" s="2">
        <f>D20/D16</f>
        <v>0.50491890508703507</v>
      </c>
      <c r="E22" s="4"/>
    </row>
    <row r="23" spans="2:27">
      <c r="C23" s="4" t="s">
        <v>50</v>
      </c>
      <c r="D23" s="2">
        <f>(F12/H12)*100</f>
        <v>12.630757952225446</v>
      </c>
    </row>
    <row r="27" spans="2:27" ht="15" thickBot="1"/>
    <row r="28" spans="2:27" s="19" customFormat="1" ht="12" thickTop="1">
      <c r="B28" s="19" t="s">
        <v>51</v>
      </c>
      <c r="C28" s="19">
        <v>18.106000000000002</v>
      </c>
      <c r="D28" s="20" t="s">
        <v>30</v>
      </c>
    </row>
    <row r="29" spans="2:27" s="4" customFormat="1">
      <c r="B29" s="4" t="s">
        <v>52</v>
      </c>
      <c r="C29" s="4">
        <v>28.96</v>
      </c>
      <c r="D29" s="21" t="s">
        <v>30</v>
      </c>
      <c r="Z29"/>
      <c r="AA29"/>
    </row>
    <row r="30" spans="2:27" s="4" customFormat="1">
      <c r="B30" s="4" t="s">
        <v>53</v>
      </c>
      <c r="C30" s="4">
        <v>8.3140000000000001</v>
      </c>
      <c r="D30" s="21" t="s">
        <v>54</v>
      </c>
      <c r="Z30"/>
      <c r="AA30"/>
    </row>
    <row r="31" spans="2:27" s="4" customFormat="1">
      <c r="B31" s="4" t="s">
        <v>55</v>
      </c>
      <c r="C31" s="4">
        <f>C30/C29</f>
        <v>0.28708563535911602</v>
      </c>
      <c r="D31" s="21" t="s">
        <v>56</v>
      </c>
      <c r="Z31"/>
      <c r="AA31"/>
    </row>
    <row r="32" spans="2:27" s="4" customFormat="1">
      <c r="B32" s="4" t="s">
        <v>57</v>
      </c>
      <c r="C32" s="4">
        <f>C30/C28</f>
        <v>0.45918480061857941</v>
      </c>
      <c r="D32" s="21" t="s">
        <v>56</v>
      </c>
      <c r="Z32"/>
      <c r="AA32"/>
    </row>
    <row r="33" spans="2:4">
      <c r="B33" s="4" t="s">
        <v>58</v>
      </c>
      <c r="C33" s="4">
        <v>2300</v>
      </c>
      <c r="D33" s="21" t="s">
        <v>39</v>
      </c>
    </row>
    <row r="34" spans="2:4">
      <c r="B34" s="4" t="s">
        <v>59</v>
      </c>
      <c r="C34" s="22">
        <v>1.006</v>
      </c>
      <c r="D34" s="21" t="s">
        <v>56</v>
      </c>
    </row>
    <row r="35" spans="2:4">
      <c r="B35" s="4" t="s">
        <v>60</v>
      </c>
      <c r="C35" s="14">
        <v>1.86</v>
      </c>
      <c r="D35" s="23" t="s">
        <v>61</v>
      </c>
    </row>
    <row r="36" spans="2:4">
      <c r="B36" s="4" t="s">
        <v>62</v>
      </c>
      <c r="C36" s="4">
        <v>2257</v>
      </c>
      <c r="D36" s="23" t="s">
        <v>39</v>
      </c>
    </row>
    <row r="37" spans="2:4">
      <c r="B37" s="4" t="s">
        <v>63</v>
      </c>
      <c r="C37" s="4">
        <v>647.096</v>
      </c>
      <c r="D37" s="2" t="s">
        <v>64</v>
      </c>
    </row>
    <row r="38" spans="2:4">
      <c r="B38" s="4" t="s">
        <v>65</v>
      </c>
      <c r="C38" s="4">
        <v>373.15</v>
      </c>
      <c r="D38" s="2" t="s">
        <v>64</v>
      </c>
    </row>
    <row r="39" spans="2:4">
      <c r="B39" s="4" t="s">
        <v>66</v>
      </c>
      <c r="C39" s="1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Bossong</dc:creator>
  <cp:lastModifiedBy>Jeff Bossong</cp:lastModifiedBy>
  <dcterms:created xsi:type="dcterms:W3CDTF">2025-10-01T19:27:46Z</dcterms:created>
  <dcterms:modified xsi:type="dcterms:W3CDTF">2025-10-01T19:28:28Z</dcterms:modified>
</cp:coreProperties>
</file>